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19"/>
  <workbookPr defaultThemeVersion="124226"/>
  <xr:revisionPtr revIDLastSave="0" documentId="8_{9B95BCAA-D59E-4918-9F5B-DB913A194F77}" xr6:coauthVersionLast="47" xr6:coauthVersionMax="47" xr10:uidLastSave="{00000000-0000-0000-0000-000000000000}"/>
  <bookViews>
    <workbookView xWindow="360" yWindow="45" windowWidth="20115" windowHeight="10035" xr2:uid="{00000000-000D-0000-FFFF-FFFF00000000}"/>
  </bookViews>
  <sheets>
    <sheet name="JFET Calculator" sheetId="2" r:id="rId1"/>
    <sheet name="Sheet1" sheetId="1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8" i="2" l="1"/>
  <c r="G7" i="2"/>
  <c r="G16" i="2"/>
  <c r="G47" i="2" l="1"/>
  <c r="G42" i="2"/>
  <c r="O24" i="2"/>
  <c r="K24" i="2"/>
  <c r="G44" i="2"/>
  <c r="G45" i="2"/>
  <c r="G52" i="2" s="1"/>
  <c r="G19" i="2"/>
  <c r="G24" i="2"/>
  <c r="G39" i="2"/>
  <c r="G40" i="2" l="1"/>
  <c r="G38" i="2" s="1"/>
  <c r="G48" i="2" l="1"/>
  <c r="G49" i="2" s="1"/>
  <c r="G50" i="2" s="1"/>
  <c r="G43" i="2"/>
  <c r="O21" i="2"/>
  <c r="O22" i="2"/>
  <c r="K22" i="2"/>
  <c r="O32" i="2" l="1"/>
  <c r="O31" i="2"/>
  <c r="K32" i="2"/>
  <c r="K31" i="2"/>
  <c r="K29" i="2"/>
  <c r="O29" i="2"/>
  <c r="K16" i="2"/>
  <c r="S59" i="2"/>
  <c r="T59" i="2" s="1"/>
  <c r="S58" i="2"/>
  <c r="T58" i="2" s="1"/>
  <c r="S57" i="2"/>
  <c r="T57" i="2" s="1"/>
  <c r="S56" i="2"/>
  <c r="T56" i="2" s="1"/>
  <c r="S55" i="2"/>
  <c r="T55" i="2" s="1"/>
  <c r="S54" i="2"/>
  <c r="T54" i="2" s="1"/>
  <c r="S53" i="2"/>
  <c r="T53" i="2" s="1"/>
  <c r="S52" i="2"/>
  <c r="T52" i="2" s="1"/>
  <c r="S51" i="2"/>
  <c r="T51" i="2" s="1"/>
  <c r="S50" i="2"/>
  <c r="T50" i="2" s="1"/>
  <c r="S49" i="2"/>
  <c r="T49" i="2" s="1"/>
  <c r="O19" i="2" l="1"/>
  <c r="O16" i="2" s="1"/>
  <c r="G15" i="2"/>
  <c r="G20" i="2"/>
  <c r="G17" i="2" l="1"/>
  <c r="G25" i="2"/>
  <c r="O20" i="2"/>
  <c r="O15" i="2" s="1"/>
  <c r="O17" i="2" s="1"/>
  <c r="G22" i="2"/>
  <c r="G29" i="2" s="1"/>
  <c r="G21" i="2"/>
  <c r="K19" i="2"/>
  <c r="O25" i="2" l="1"/>
  <c r="O26" i="2" s="1"/>
  <c r="O27" i="2" s="1"/>
  <c r="G26" i="2"/>
  <c r="G27" i="2" s="1"/>
  <c r="K20" i="2"/>
  <c r="K15" i="2" s="1"/>
  <c r="K25" i="2" s="1"/>
  <c r="K21" i="2"/>
  <c r="K26" i="2" l="1"/>
  <c r="K27" i="2" s="1"/>
  <c r="K17" i="2"/>
</calcChain>
</file>

<file path=xl/sharedStrings.xml><?xml version="1.0" encoding="utf-8"?>
<sst xmlns="http://schemas.openxmlformats.org/spreadsheetml/2006/main" count="213" uniqueCount="78">
  <si>
    <t xml:space="preserve">BIAS CALCULATOR FOR A JFET COMMON SOURCE CIRCUIT </t>
  </si>
  <si>
    <t>(Version 2.1 by Frank_NH)</t>
  </si>
  <si>
    <t>Typical JFET data</t>
  </si>
  <si>
    <t>JFET Data</t>
  </si>
  <si>
    <t>J201</t>
  </si>
  <si>
    <t xml:space="preserve">Type </t>
  </si>
  <si>
    <t>Vgs(off)</t>
  </si>
  <si>
    <t>Idss</t>
  </si>
  <si>
    <t>mA</t>
  </si>
  <si>
    <t>V</t>
  </si>
  <si>
    <t>Rs</t>
  </si>
  <si>
    <t>W</t>
  </si>
  <si>
    <t>J202</t>
  </si>
  <si>
    <t>Vdd</t>
  </si>
  <si>
    <t>Vd</t>
  </si>
  <si>
    <t>Rd</t>
  </si>
  <si>
    <t>2N5457</t>
  </si>
  <si>
    <t>2N5458</t>
  </si>
  <si>
    <t>MPF102</t>
  </si>
  <si>
    <t>User</t>
  </si>
  <si>
    <t>Midpoint DC Bias</t>
  </si>
  <si>
    <t>Fixed Rs-Vd DC Bias</t>
  </si>
  <si>
    <t>Fixed Rs-Rd DC Bias</t>
  </si>
  <si>
    <t>Vg</t>
  </si>
  <si>
    <t>Vgs</t>
  </si>
  <si>
    <t>Vs</t>
  </si>
  <si>
    <t>Ig</t>
  </si>
  <si>
    <t>Id</t>
  </si>
  <si>
    <t>Is</t>
  </si>
  <si>
    <t>Rg</t>
  </si>
  <si>
    <t>gm0</t>
  </si>
  <si>
    <t>mS</t>
  </si>
  <si>
    <t>NOTE:  Waveform inverts for this configuration</t>
  </si>
  <si>
    <t>gm</t>
  </si>
  <si>
    <t>Source bypass cap</t>
  </si>
  <si>
    <t>Av</t>
  </si>
  <si>
    <t>(gain)</t>
  </si>
  <si>
    <t>No Source bypass cap</t>
  </si>
  <si>
    <t>Av*</t>
  </si>
  <si>
    <t>fc</t>
  </si>
  <si>
    <t>Hz</t>
  </si>
  <si>
    <t>Cs</t>
  </si>
  <si>
    <t>uF</t>
  </si>
  <si>
    <t>For this condition:</t>
  </si>
  <si>
    <t>a</t>
  </si>
  <si>
    <t>Id = idss/2</t>
  </si>
  <si>
    <t>b</t>
  </si>
  <si>
    <t>Vd = Vdd/2</t>
  </si>
  <si>
    <t>Fetzer Valve Bias</t>
  </si>
  <si>
    <t>BASIC Assumptions</t>
  </si>
  <si>
    <t>Gate current is 0 mA (Ig = 0)</t>
  </si>
  <si>
    <t>Bias voltage on gate is 0 V (Vg = 0)</t>
  </si>
  <si>
    <t>Rg = 1M ohm tied to ground, which provides Vg = 0</t>
  </si>
  <si>
    <t>DC Bias calculations only</t>
  </si>
  <si>
    <t>TECH NOTES (EQUATIONS)</t>
  </si>
  <si>
    <t>Id = Idss(1-Vgs/Vgs(off))^2</t>
  </si>
  <si>
    <t>gm = gm0*(1-Vgs/Vgs(off))</t>
  </si>
  <si>
    <t>Id ~ Is, since no current at gate</t>
  </si>
  <si>
    <t>Vs = Is*Rs = Id*Rs</t>
  </si>
  <si>
    <t>Vdd-Vd = Id*Rd</t>
  </si>
  <si>
    <t>Vgs = Vg-Vs = -Vs = -Is*Rs = -Id*Rs</t>
  </si>
  <si>
    <t>#</t>
  </si>
  <si>
    <t>Av = gm*Rd            (with bypass cap, Cs)</t>
  </si>
  <si>
    <t>Av* = gm*Rd/(1+gm*Rs)     (no bypass cap )</t>
  </si>
  <si>
    <t>JFET Comparison</t>
  </si>
  <si>
    <t xml:space="preserve">V </t>
  </si>
  <si>
    <t>uMhos</t>
  </si>
  <si>
    <t>gfs = forward transfer conductance</t>
  </si>
  <si>
    <t>JFET</t>
  </si>
  <si>
    <t>Idss (min)</t>
  </si>
  <si>
    <t>Idss (typ)</t>
  </si>
  <si>
    <t>Idss (max)</t>
  </si>
  <si>
    <t>Vp (min)</t>
  </si>
  <si>
    <t>Vp (max)</t>
  </si>
  <si>
    <t>gfs (min)</t>
  </si>
  <si>
    <t>gfs (max)</t>
  </si>
  <si>
    <t>2N5459</t>
  </si>
  <si>
    <t>2N5952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</si>
</sst>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13">
    <font>
      <sz val="11"/>
      <color theme="1"/>
      <name val="Calibri"/>
      <family val="2"/>
      <scheme val="minor"/>
    </font>
    <font>
      <sz val="11"/>
      <color theme="1"/>
      <name val="Symbol"/>
      <family val="1"/>
      <charset val="2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b/>
      <i/>
      <sz val="11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rgb="FFFFC7CE"/>
      </patternFill>
    </fill>
    <fill>
      <patternFill patternType="solid">
        <fgColor theme="2" tint="-9.9948118533890809E-2"/>
        <bgColor indexed="64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6" fillId="12" borderId="0" applyNumberFormat="0" applyBorder="0" applyAlignment="0" applyProtection="0"/>
    <xf numFmtId="0" fontId="6" fillId="13" borderId="0" applyNumberFormat="0" applyBorder="0" applyAlignment="0" applyProtection="0"/>
    <xf numFmtId="0" fontId="9" fillId="14" borderId="0" applyNumberFormat="0" applyBorder="0" applyAlignment="0" applyProtection="0"/>
  </cellStyleXfs>
  <cellXfs count="105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0" fillId="0" borderId="0" xfId="0" applyAlignment="1">
      <alignment horizontal="left"/>
    </xf>
    <xf numFmtId="1" fontId="0" fillId="0" borderId="0" xfId="0" applyNumberFormat="1" applyAlignment="1">
      <alignment horizontal="center"/>
    </xf>
    <xf numFmtId="0" fontId="1" fillId="0" borderId="0" xfId="0" applyFont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4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3" fillId="7" borderId="4" xfId="0" applyFont="1" applyFill="1" applyBorder="1" applyAlignment="1">
      <alignment horizontal="center"/>
    </xf>
    <xf numFmtId="0" fontId="3" fillId="7" borderId="0" xfId="0" applyFont="1" applyFill="1"/>
    <xf numFmtId="0" fontId="3" fillId="7" borderId="5" xfId="0" applyFont="1" applyFill="1" applyBorder="1"/>
    <xf numFmtId="0" fontId="3" fillId="7" borderId="6" xfId="0" applyFont="1" applyFill="1" applyBorder="1" applyAlignment="1">
      <alignment horizontal="center"/>
    </xf>
    <xf numFmtId="0" fontId="3" fillId="7" borderId="7" xfId="0" applyFont="1" applyFill="1" applyBorder="1"/>
    <xf numFmtId="0" fontId="3" fillId="7" borderId="8" xfId="0" applyFont="1" applyFill="1" applyBorder="1"/>
    <xf numFmtId="0" fontId="3" fillId="6" borderId="4" xfId="0" applyFont="1" applyFill="1" applyBorder="1" applyAlignment="1">
      <alignment horizontal="center"/>
    </xf>
    <xf numFmtId="0" fontId="3" fillId="6" borderId="0" xfId="0" applyFont="1" applyFill="1"/>
    <xf numFmtId="0" fontId="0" fillId="6" borderId="0" xfId="0" applyFill="1"/>
    <xf numFmtId="0" fontId="0" fillId="6" borderId="5" xfId="0" applyFill="1" applyBorder="1"/>
    <xf numFmtId="0" fontId="3" fillId="6" borderId="6" xfId="0" applyFont="1" applyFill="1" applyBorder="1" applyAlignment="1">
      <alignment horizontal="center"/>
    </xf>
    <xf numFmtId="0" fontId="3" fillId="6" borderId="7" xfId="0" applyFont="1" applyFill="1" applyBorder="1"/>
    <xf numFmtId="0" fontId="0" fillId="6" borderId="7" xfId="0" applyFill="1" applyBorder="1"/>
    <xf numFmtId="0" fontId="0" fillId="6" borderId="8" xfId="0" applyFill="1" applyBorder="1"/>
    <xf numFmtId="0" fontId="0" fillId="6" borderId="9" xfId="0" applyFill="1" applyBorder="1" applyAlignment="1">
      <alignment horizontal="center"/>
    </xf>
    <xf numFmtId="0" fontId="5" fillId="6" borderId="10" xfId="0" applyFont="1" applyFill="1" applyBorder="1"/>
    <xf numFmtId="0" fontId="0" fillId="6" borderId="10" xfId="0" applyFill="1" applyBorder="1"/>
    <xf numFmtId="0" fontId="0" fillId="6" borderId="11" xfId="0" applyFill="1" applyBorder="1"/>
    <xf numFmtId="0" fontId="0" fillId="7" borderId="9" xfId="0" applyFill="1" applyBorder="1"/>
    <xf numFmtId="0" fontId="5" fillId="7" borderId="10" xfId="0" applyFont="1" applyFill="1" applyBorder="1"/>
    <xf numFmtId="0" fontId="0" fillId="7" borderId="10" xfId="0" applyFill="1" applyBorder="1"/>
    <xf numFmtId="0" fontId="0" fillId="7" borderId="11" xfId="0" applyFill="1" applyBorder="1"/>
    <xf numFmtId="14" fontId="3" fillId="0" borderId="0" xfId="0" applyNumberFormat="1" applyFont="1"/>
    <xf numFmtId="164" fontId="3" fillId="9" borderId="0" xfId="0" applyNumberFormat="1" applyFont="1" applyFill="1" applyAlignment="1">
      <alignment horizontal="center"/>
    </xf>
    <xf numFmtId="164" fontId="3" fillId="9" borderId="12" xfId="0" applyNumberFormat="1" applyFont="1" applyFill="1" applyBorder="1" applyAlignment="1">
      <alignment horizontal="center"/>
    </xf>
    <xf numFmtId="0" fontId="3" fillId="10" borderId="13" xfId="0" applyFont="1" applyFill="1" applyBorder="1"/>
    <xf numFmtId="0" fontId="3" fillId="10" borderId="14" xfId="0" applyFont="1" applyFill="1" applyBorder="1"/>
    <xf numFmtId="0" fontId="3" fillId="10" borderId="15" xfId="0" applyFont="1" applyFill="1" applyBorder="1"/>
    <xf numFmtId="0" fontId="4" fillId="0" borderId="0" xfId="0" applyFont="1" applyAlignment="1">
      <alignment horizontal="left"/>
    </xf>
    <xf numFmtId="0" fontId="0" fillId="6" borderId="2" xfId="0" applyFill="1" applyBorder="1"/>
    <xf numFmtId="0" fontId="0" fillId="6" borderId="3" xfId="0" applyFill="1" applyBorder="1"/>
    <xf numFmtId="0" fontId="3" fillId="6" borderId="1" xfId="0" applyFont="1" applyFill="1" applyBorder="1" applyAlignment="1">
      <alignment horizontal="center"/>
    </xf>
    <xf numFmtId="0" fontId="3" fillId="6" borderId="2" xfId="0" applyFont="1" applyFill="1" applyBorder="1"/>
    <xf numFmtId="0" fontId="6" fillId="0" borderId="0" xfId="1" applyFill="1"/>
    <xf numFmtId="0" fontId="0" fillId="0" borderId="16" xfId="0" applyBorder="1"/>
    <xf numFmtId="0" fontId="0" fillId="0" borderId="17" xfId="0" applyBorder="1"/>
    <xf numFmtId="164" fontId="0" fillId="0" borderId="4" xfId="0" applyNumberFormat="1" applyBorder="1"/>
    <xf numFmtId="164" fontId="0" fillId="5" borderId="4" xfId="0" applyNumberFormat="1" applyFill="1" applyBorder="1"/>
    <xf numFmtId="1" fontId="0" fillId="8" borderId="4" xfId="0" applyNumberFormat="1" applyFill="1" applyBorder="1"/>
    <xf numFmtId="0" fontId="1" fillId="0" borderId="5" xfId="0" applyFont="1" applyBorder="1"/>
    <xf numFmtId="1" fontId="0" fillId="4" borderId="4" xfId="0" applyNumberFormat="1" applyFill="1" applyBorder="1"/>
    <xf numFmtId="2" fontId="0" fillId="3" borderId="4" xfId="0" applyNumberFormat="1" applyFill="1" applyBorder="1"/>
    <xf numFmtId="1" fontId="0" fillId="0" borderId="4" xfId="0" applyNumberFormat="1" applyBorder="1"/>
    <xf numFmtId="164" fontId="0" fillId="0" borderId="6" xfId="0" applyNumberFormat="1" applyBorder="1"/>
    <xf numFmtId="0" fontId="0" fillId="0" borderId="8" xfId="0" applyBorder="1"/>
    <xf numFmtId="0" fontId="2" fillId="11" borderId="13" xfId="0" applyFont="1" applyFill="1" applyBorder="1"/>
    <xf numFmtId="0" fontId="0" fillId="11" borderId="14" xfId="0" applyFill="1" applyBorder="1"/>
    <xf numFmtId="0" fontId="0" fillId="11" borderId="15" xfId="0" applyFill="1" applyBorder="1"/>
    <xf numFmtId="0" fontId="0" fillId="7" borderId="19" xfId="0" applyFill="1" applyBorder="1"/>
    <xf numFmtId="0" fontId="6" fillId="13" borderId="1" xfId="2" applyBorder="1"/>
    <xf numFmtId="0" fontId="6" fillId="13" borderId="2" xfId="2" applyBorder="1"/>
    <xf numFmtId="0" fontId="6" fillId="13" borderId="3" xfId="2" applyBorder="1"/>
    <xf numFmtId="0" fontId="6" fillId="13" borderId="4" xfId="2" applyBorder="1"/>
    <xf numFmtId="0" fontId="6" fillId="13" borderId="0" xfId="2" applyBorder="1"/>
    <xf numFmtId="0" fontId="6" fillId="13" borderId="5" xfId="2" applyBorder="1"/>
    <xf numFmtId="0" fontId="6" fillId="13" borderId="0" xfId="2"/>
    <xf numFmtId="0" fontId="6" fillId="13" borderId="6" xfId="2" applyBorder="1"/>
    <xf numFmtId="0" fontId="6" fillId="13" borderId="7" xfId="2" applyBorder="1"/>
    <xf numFmtId="0" fontId="6" fillId="13" borderId="8" xfId="2" applyBorder="1"/>
    <xf numFmtId="0" fontId="0" fillId="11" borderId="18" xfId="0" applyFill="1" applyBorder="1"/>
    <xf numFmtId="0" fontId="0" fillId="11" borderId="19" xfId="0" applyFill="1" applyBorder="1"/>
    <xf numFmtId="164" fontId="0" fillId="0" borderId="1" xfId="0" applyNumberFormat="1" applyBorder="1"/>
    <xf numFmtId="0" fontId="3" fillId="3" borderId="13" xfId="0" applyFont="1" applyFill="1" applyBorder="1"/>
    <xf numFmtId="0" fontId="3" fillId="3" borderId="14" xfId="0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/>
    </xf>
    <xf numFmtId="0" fontId="3" fillId="9" borderId="20" xfId="0" applyFont="1" applyFill="1" applyBorder="1"/>
    <xf numFmtId="0" fontId="3" fillId="9" borderId="21" xfId="0" applyFont="1" applyFill="1" applyBorder="1"/>
    <xf numFmtId="0" fontId="3" fillId="9" borderId="22" xfId="0" applyFont="1" applyFill="1" applyBorder="1"/>
    <xf numFmtId="164" fontId="3" fillId="9" borderId="20" xfId="0" applyNumberFormat="1" applyFont="1" applyFill="1" applyBorder="1" applyAlignment="1">
      <alignment horizontal="center"/>
    </xf>
    <xf numFmtId="164" fontId="3" fillId="9" borderId="21" xfId="0" applyNumberFormat="1" applyFont="1" applyFill="1" applyBorder="1" applyAlignment="1">
      <alignment horizontal="center"/>
    </xf>
    <xf numFmtId="164" fontId="3" fillId="9" borderId="22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0" fontId="3" fillId="4" borderId="5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0" borderId="16" xfId="0" applyFont="1" applyBorder="1"/>
    <xf numFmtId="14" fontId="8" fillId="0" borderId="0" xfId="0" applyNumberFormat="1" applyFont="1"/>
    <xf numFmtId="0" fontId="7" fillId="0" borderId="0" xfId="0" applyFont="1"/>
    <xf numFmtId="0" fontId="3" fillId="0" borderId="23" xfId="0" applyFont="1" applyBorder="1"/>
    <xf numFmtId="0" fontId="12" fillId="0" borderId="0" xfId="0" applyFont="1"/>
    <xf numFmtId="0" fontId="2" fillId="7" borderId="13" xfId="0" applyFont="1" applyFill="1" applyBorder="1"/>
    <xf numFmtId="1" fontId="0" fillId="4" borderId="23" xfId="0" applyNumberFormat="1" applyFill="1" applyBorder="1"/>
    <xf numFmtId="0" fontId="0" fillId="16" borderId="23" xfId="0" applyFill="1" applyBorder="1"/>
    <xf numFmtId="0" fontId="0" fillId="4" borderId="23" xfId="0" applyFill="1" applyBorder="1"/>
    <xf numFmtId="0" fontId="0" fillId="6" borderId="23" xfId="0" applyFill="1" applyBorder="1"/>
    <xf numFmtId="0" fontId="11" fillId="15" borderId="20" xfId="0" applyFont="1" applyFill="1" applyBorder="1" applyAlignment="1">
      <alignment horizontal="center"/>
    </xf>
    <xf numFmtId="164" fontId="10" fillId="2" borderId="23" xfId="3" applyNumberFormat="1" applyFont="1" applyFill="1" applyBorder="1"/>
    <xf numFmtId="164" fontId="10" fillId="16" borderId="23" xfId="0" applyNumberFormat="1" applyFont="1" applyFill="1" applyBorder="1"/>
  </cellXfs>
  <cellStyles count="4">
    <cellStyle name="20% - Accent5" xfId="2" builtinId="46"/>
    <cellStyle name="40% - Accent6" xfId="1" builtinId="51"/>
    <cellStyle name="Bad" xfId="3" builtinId="27"/>
    <cellStyle name="Normal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JFET Id vs Vgs</a:t>
            </a:r>
          </a:p>
        </c:rich>
      </c:tx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Id vs Vgs</c:v>
          </c:tx>
          <c:marker>
            <c:symbol val="none"/>
          </c:marker>
          <c:xVal>
            <c:numRef>
              <c:f>'JFET Calculator'!$S$49:$S$59</c:f>
              <c:numCache>
                <c:formatCode>0.000</c:formatCode>
                <c:ptCount val="11"/>
                <c:pt idx="0">
                  <c:v>-0.83</c:v>
                </c:pt>
                <c:pt idx="1">
                  <c:v>-0.747</c:v>
                </c:pt>
                <c:pt idx="2">
                  <c:v>-0.66400000000000003</c:v>
                </c:pt>
                <c:pt idx="3">
                  <c:v>-0.58099999999999996</c:v>
                </c:pt>
                <c:pt idx="4">
                  <c:v>-0.49799999999999994</c:v>
                </c:pt>
                <c:pt idx="5">
                  <c:v>-0.41499999999999998</c:v>
                </c:pt>
                <c:pt idx="6">
                  <c:v>-0.33200000000000002</c:v>
                </c:pt>
                <c:pt idx="7">
                  <c:v>-0.24900000000000003</c:v>
                </c:pt>
                <c:pt idx="8">
                  <c:v>-0.16599999999999995</c:v>
                </c:pt>
                <c:pt idx="9">
                  <c:v>-8.2999999999999977E-2</c:v>
                </c:pt>
                <c:pt idx="10">
                  <c:v>0</c:v>
                </c:pt>
              </c:numCache>
            </c:numRef>
          </c:xVal>
          <c:yVal>
            <c:numRef>
              <c:f>'JFET Calculator'!$T$49:$T$59</c:f>
              <c:numCache>
                <c:formatCode>0.000</c:formatCode>
                <c:ptCount val="11"/>
                <c:pt idx="0">
                  <c:v>0</c:v>
                </c:pt>
                <c:pt idx="1">
                  <c:v>6.3999999999999968E-3</c:v>
                </c:pt>
                <c:pt idx="2">
                  <c:v>2.5599999999999987E-2</c:v>
                </c:pt>
                <c:pt idx="3">
                  <c:v>5.7600000000000019E-2</c:v>
                </c:pt>
                <c:pt idx="4">
                  <c:v>0.10240000000000002</c:v>
                </c:pt>
                <c:pt idx="5">
                  <c:v>0.16</c:v>
                </c:pt>
                <c:pt idx="6">
                  <c:v>0.23039999999999999</c:v>
                </c:pt>
                <c:pt idx="7">
                  <c:v>0.31359999999999999</c:v>
                </c:pt>
                <c:pt idx="8">
                  <c:v>0.40960000000000008</c:v>
                </c:pt>
                <c:pt idx="9">
                  <c:v>0.51840000000000008</c:v>
                </c:pt>
                <c:pt idx="10">
                  <c:v>0.64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A24D-45F3-A910-011B55B32F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3926528"/>
        <c:axId val="74799744"/>
      </c:scatterChart>
      <c:valAx>
        <c:axId val="73926528"/>
        <c:scaling>
          <c:orientation val="minMax"/>
        </c:scaling>
        <c:delete val="0"/>
        <c:axPos val="b"/>
        <c:majorGridlines/>
        <c:minorGridlines/>
        <c:numFmt formatCode="0.000" sourceLinked="1"/>
        <c:majorTickMark val="in"/>
        <c:minorTickMark val="none"/>
        <c:tickLblPos val="nextTo"/>
        <c:crossAx val="74799744"/>
        <c:crossesAt val="0"/>
        <c:crossBetween val="midCat"/>
      </c:valAx>
      <c:valAx>
        <c:axId val="74799744"/>
        <c:scaling>
          <c:orientation val="minMax"/>
        </c:scaling>
        <c:delete val="0"/>
        <c:axPos val="l"/>
        <c:majorGridlines/>
        <c:minorGridlines/>
        <c:numFmt formatCode="#,##0.00" sourceLinked="0"/>
        <c:majorTickMark val="out"/>
        <c:minorTickMark val="none"/>
        <c:tickLblPos val="high"/>
        <c:crossAx val="73926528"/>
        <c:crossesAt val="0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gif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16192</xdr:colOff>
      <xdr:row>25</xdr:row>
      <xdr:rowOff>176211</xdr:rowOff>
    </xdr:from>
    <xdr:to>
      <xdr:col>24</xdr:col>
      <xdr:colOff>392430</xdr:colOff>
      <xdr:row>45</xdr:row>
      <xdr:rowOff>180974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20</xdr:col>
      <xdr:colOff>0</xdr:colOff>
      <xdr:row>16</xdr:row>
      <xdr:rowOff>0</xdr:rowOff>
    </xdr:from>
    <xdr:to>
      <xdr:col>20</xdr:col>
      <xdr:colOff>304800</xdr:colOff>
      <xdr:row>17</xdr:row>
      <xdr:rowOff>112395</xdr:rowOff>
    </xdr:to>
    <xdr:sp macro="" textlink="">
      <xdr:nvSpPr>
        <xdr:cNvPr id="1027" name="AutoShape 3" descr="data:image/jpeg;base64,/9j/4AAQSkZJRgABAQAAAQABAAD/2wCEAAkGBxQSEhUUExQWEhUXGBYbFxgWFRgVGhgWHhcbHhgeHxweHCggHxonHhUcIjYhJSkrMC4uFyEzODMtNygtLisBCgoKDg0OGxAQGiwkHyQ3LDQ3LDUsLCwsNCwsMjcsLCwyLDQsLCwsLCw0NCw0LCw0LCwsLDQvLC8sLCwsLCwsLP/AABEIAMkA+gMBIgACEQEDEQH/xAAbAAEBAAMBAQEAAAAAAAAAAAAABQMEBgIBB//EAEcQAAIBAgMDBQsJCAIBBQAAAAECAwARBBIhBQYxEyJBUWEWIzI0U3GBkZSz0hQVQlRygoOS0zNSYnOhorGyJNGTB0N0weH/xAAZAQEBAQEBAQAAAAAAAAAAAAAAAgEDBAX/xAAiEQEBAAICAgEFAQAAAAAAAAAAAQIRITEDEkEEMkLw8VH/2gAMAwEAAhEDEQA/AP3GlKUClKUClKUClKUClKUCpL7y4UEjlhcEg2DEXBsRcC2hFqrVI3V8X/En9+9A7p8L5Uflf4ad0+F8qPyv8NV6UEjunwvlR+V/hp3T4Xyo/K/w1XpQSO6fC+VH5X+GndPhfKj8r/DVelBI7p8L5Uflf4awY3fDBxRvI0vNRSxsjk2A+zxq9XidAysCAQQQQdQQRqD2UEDZW++CxESyxy81r2ujg6Gxvp1itvunwvlR+V/hr1upEFwWGCgKORi0AsPAF6q0EjunwvlR+V/hp3T4Xyo/K/w1XpQc/tDe7Dol425RyVVEsy5nYgLcldBc6nqB41g2Rt+UzJFOIzymYI0aslmClipDM19FJzXHDhV/aGCSaNo3F1a3A2IINwQegggEHsqbsrd1YX5RpZJ2AIQycmMoPGwRFFz1n0W1oM2L2wImmV1tycYkUg3zjUEWtoQwA6fCFZBtiFSqSyxRTFAxjMq5gLXOhsSNDrboNfNp7HSd4ncsDGb2UgBhcHK2huuZFawtqo6Lgz94NhyYhcRGGjVMRGEJYEstgRcDgeI1vpRvysYHHxTLmhkSVb2vG6uL9VwTWzU7Z2CcSNJIUzFESyXtZSxuSdSed1aemqNEwpSlGlKUoFKUoFKUoFKUoFKUoFSN1fF/xJ/fvW7jtoxw25RwCfBXizfZUan0CocGCmMgbCq2EjLZnEpzB7klssF+YWuedmQ3NyrUHTUpSgUpSgUpSgV5fgfNXqtLGbUijOVmu54IoLuR9kXNu3hQYd2fE8N/Ji/0FU65vZOAnWRDEDhcMOMMrcqxFrAIASIQNLAMwtplWukoNHZuKaRpw1u9y5Ft+7yaNr23c1vVK2J4eK/+QfcxVVoFKUoFKUoFKUoFKUoFKUoFKUoFKUoFKUoFKUoNLHbLjlYOwyyKLCRCUcC97Zhrlv8AROnZUeHasqyBImGPTMFYqMrR62JMo705H7vNbz1u7c2KZ2VhIRlBHJOM8D68XQWJPUc1usGvJ2wMPkTER8iCQqNGc8ZJNgNAGX0rbtoNbenFyJJCsfKsCs7MkJVWbKqkeF1X4Dr6a3dnbS71hc7cs0yqOUQcwuIyxPYDlPR6qqFASCQLi9jbUX42rUm2ZGxjNivJuXUIxQZyCCSFIDXzHj1mkG7SlKBXKb1Y2ZJiIzIAIGfmFQFblAA7AgkqAbkAHQHSurryYxe9he1r21t1eagmYjbGQ2yNKFiWR3QrbIb6gFrnwCbC9e8XsyJyZgTE5UXljbISoGmY8GAv9IECvs+xYXN7FRlCFUZkUoCSFKqQCOcdO2tTamwmkl5VXD2CjkZ1zwi3SoFirn945hoNKDFs3a0rSKi2xcRJvOi8mEGvE+BLw4oR9muhqRFtsLIkMyGGR9EAOdGNuhl4feC1XoOfjYiPHkEqRI5BHEEQRkVuLtHIqjK8mWJXdgV0BvrxBJ5pOgrxsmMM2LVgGBnNwRcHvMXRW1LsqNjwKjKFyqxVSoJsCoNiNT66rGzXLLK3Fa4uNQa+0pUtKUpQKUpQKUpQKUpQKUpQKUpQKUpQKUpQR9ujFXXkf2dufky8te/0OU73a3XXrYWHgZBNErEnMC8uYyXDFWBL87Qgi3Dq0qtUjdXxf8Sf370FelKUClKUClKUCoW2hic+mb5PYXGHyia+ua+f6PDwLP1Vdry/A+ag0tkYWAIskKizqGDm5ZlIBBLNzjp11v1M3Z8Tw38mL/QVToOX3M3gw+KkxggcuUnu145EteNF+ko1vGwt2dorqKlbD2DFhWxDRi3LzNK32mAuPNcE+mqtApSlApSpkO8GHaTklkBa9hocpbqDWyk9gNBTpXnlBfLcXte19bdduqiODwIOpGhvqOIoPVKUoFKUoFKUoFKUoFK+OwAJJAA4k6ACtXAbUhnvyM0c1rX5ORXtfhfKTag26UpQKkbq+L/iT+/eq9SN1fF/xJ/fvQV6UpQKUpQKUqDtLfHBwMUaZXkHGOIGaQHqKRgkHz2oL1aW2sGZsPLEsjQl0ZRIhsyEgi47RUEb/wCHvrDjAOs4LEW/0qrsvePC4q4gnjkYDVA1nXzobMPSKaZLL0i7k7vvHgMMvyzEN3pTxTTML2F1JsL2GvAVb+aH+tT+uL9OtPZ2IdMHghGVDOkK3dSwA5K/AMv7vXVTZuKZ86vbPG+Vitwrc1WBAJJGjjS5sb6mt9eNm+dNf5of61P64v06fND/AFqf1xfp1g2xvHHh8VhMM1s2JaQDXhlS407TYVcrGpXzQ/1qf1xfp0+aH+tT+uL9OqtKCPNsV2Vl+V4gXBF+96XH2K5mPYuIIXDmEplyAyAryYCkc5db300Fr3413jkgGwuegcL1L2TjppJJlkiyKr2BzKbDk0NtOOrHWgx7xRSLyc8EZllizrkBALo4sRc6WzKjfdNas0nyRYIWnWBMjF5nyjPKCtxd+aCxZm11NtOmukpQcjs3bsmIjjUSqswExmCquYBSRGSjXKBxYgHoOlV8Lh5mRWOJa7Kp0ji6Rf8AdqvSjNFK8CZbA5hY2ANxYk6Cxr3RpSlKBSlKCBvot4YywJiE8JmA170H1JHSgOUnsBvpW5PtGEZnTLNIkZa0ZQuU42uSAASOkiqMrWBJBIAOgFyfR01PnMDYd24QspzGMshy8DqlmB6NNRQ+W9h5c6q3DMAfWL1krDhMMsaKi3yqLDMzObdrMSx9JrNSkKkbq+L/AIk/v3qvUjdXxf8AEn9+9BXpSlArzI4UFmIAAJJOgAHE16rjv/UHEcpyOCBsMQWaXtw8eUyL95mRPMzVsm+GZXU3UzH7Uk2iTkdocFc5chKSYkcMxYapF1AWLaG4HFgEhiJgiVY8iqxVVygKxYDXp1U1uqLCw0A4CucxU8y46TkYllvBDfNII7c+W3Qb16ZjMXzss75Ly6Sp+1tlxTLd15yglXUlHU24q62YH01qfLsb9Uj9pHw15kxmNII+SR6gjxkfDW7iJLP6ybh7YY4fB4bG6q6RnDToWjOfJpG9jo9r2a9mGlrjnfpOFwyxrlUWFyTckkk8SSdSe01+aYLYt8BHhpdGESKSpvkkUDKym3FWAIPZXa7mbVbE4RHk/aqXjl0t3yNijG3QGy5h2MK4ZyyPd4fJ7733GrvDseCXG4KSSNXdWkysb3Fo2YW+8L101SNqj/k4T7cvuWqvXN3KUpQKUpQK1to41YYzI17C1gBcsxNlUDpJJA9NbNRtr8/EYaLoDPKw/lgBf7nB+7VYzd5ZldRu7Lx4nTMAUIJV0bwkccVNtPVxBBrcqPhRyeNlXgJo0kH21OR/7eTqxTKavBjeHN4XZ8gxHJlCII5HmR7ixLDmrb+FmkPULJ6NHDbySZDJykc0Qj1dADlkMsyqbqSMt41UjoJv127KlS1A3px8iGKONjHymclwATZQOat7gE3vex0U+caGxttzK7xMkuKCqrBlEeZcxYZW1UHwbgjtvXSbSwsUiETBSgsecbZSOBB6D2g02fs+OBSsShQTc8SSesk6k6dNBpfPT/VMT6ov1aDbT/VMT6ov1ar0oJHz0/1TE+qL9WouJxJ5LHjkpIxlWQI4UHMykNlAYjnGO/HwmY9N66+QkAkC5sbDhc9VRptlOYJwbNNPct0KDYBVH8KqoF+k3Ol6DJ88v9UxPqi/Up89P9UxPqi/VqvSgjnbb2v8jxPDhaL9Wuc3A3nlmwpZsDiUtNMOCa3kLfSZToWKnTip9Hd1I3V8X/En9+9A+en+qYn1Rfq0+en+qYn1Rfq1XrjU25iF202GMUjYZ8OpV8jZFlQ3YhrWIIkUHqOWgt/PT/VMT6ov1a4Tb+2ZPnRj8kxDWwkQCgRZheaUltZLWOUDQ/RNdfh8WolAkLtMZXGUSFcq3OQ8nm1jy21ANSt7ouSx+Hm6J4mgJ/jQmSMekNJ6h110mOso4+W7wr8v3t39xWFxqBYnSMxLeGYJdjnfnAozWvoOP0eFdTuvtNsTiZJHgkw5MEHMktfw5dR0284B7KvNs2IzCcxqZQoUORchQSbDq1Y8Ouo2J2msOOlzJK94If2UMktrPLxyKbcemu2rLzXj9pZqTl0lKi90sfksX7HiPgr4d5ovJYv2PEfBVbjn63/Fusm4b2lx6dC4hGHnfDRFv61qYPFJLGsiG6OoYHhzSL3qh/6dRFsPJiPrM8ki/wAsWjjPaCsYYHqYVy8vT0fSy+1URtB83JacryxW9v8A2rZ81vsWX7RrO22YwbHPqzIvMbnOpIIXrPNPqrPJHEsysQBK4KKekqOcR5tL+itSfYIcFWkcrndwpWNlBZiToU5w5xHOv66iet7ezlTgfMAbEX6CLH1VmrVwOEESBF4Dzf4GgHYBYVtVF74bClKVjSo+F5+OmbojiiQedizt/TLVio+7uvyiT9/ESW8yBY/8xn11ePVqb3Da3NxOFfraSMnsaMsP7o1qxUferSAP0xSwv6FkXN/aTVil+2X9/eSd0pSlQpO23sz5RGyZnQkEAq7oNesKRetzDQBFygse1mZz6ySay0oFKUoFKUoFKUoFSN1fF/xJ/fvVepG6vi/4k/v3oK9S9uoQI5gCTC+Y2FyYyCsgtxOhzW60FVK0NszNHGZFPgEMwsDdAeePVc6dVbJu6G8DUzeXY64zDvCTkJsyONSkqkNGw8zAG3TrWKPaR576yKXKxKmXUIOe1yQON9S1uaLcdfeF2wsjhFR79JJiAXS/DlLsO1Qw146G2+lT7Rx+zsczM0My8niY9JE6x0On70bcQRw4HUV6iwZGJkluMrRxoB03VnJ9HPFdbt7d6HFqvKBldNY5Y2KSIexh0dam4PSK5qXYe0IdFMONTrJ+Ty26LixjY9Z5vmrrj5J8vJ5Pp7PtZqxz+C3mP+KwKmPJt83uO04nD2/oxP8ASs0e62MnH/JmTDR2OaPDEs7DqMzgWH2VB/iqr5MXPH6fO3pzO60TY3DYfBwnmcjGMVKOEUeUXjB8s40t9EEk9F/12CFUVUUBVUAKBwAAsBXO7u4P5PsuBMMqo3IxEDQXZgpY3Ohc3Niem16p7GnYmRHaUsuW6zCIMAQbEGLmkG3n0rjd5Tb244zDifLHtXxnB/bm9y1V64ve3CYtto7OMMrJDmk5UBVNrITxKm2Zbr/1XaVDoUpSgVP2bi2eTEI1u9yALpbmNGrD+pIv2VQqPAcuOkHlIY2HnRmVj/etVjNypvwrO4AJOgAufNUrdNT8khLeE652+05LH/ave9ExXCTkeEY2VftMMo/qaoYaEIioOCqAPMBYf4rfw/fj+n5MW0cIJopIiSA6spI4i4tcdtZ41sAONgBXqlTvjStFfCa+1H3lctGsCmzTuI7jiEsTKfyK3rpjN3TLdRn2btqKdisZJIFxdSoZb2zKSOct9Lj/AOxVGom8EQiSOdBb5OwJA8iebIPMFOb7gq0DVZSdxkt6r7SlKhRSlKBSlKBUjdXxf8Sf371XrmsLtD5FlgmW+eR+TaI8ozZ5C2sds4tmsSAwFrkjoDpa8Ot+0V7pQaMmzUKqqjkwngcnZculiALWtY8LWrDHslUIa7sFOYKSCM3WLLfpvYG1zwqpSq9qzUT49swFshkVH/dfvbegNYn0VQBrFiMOkgyuquOplDD1Gpp3Xwf1WD0RKP8AAqWssO38K7tGuIiLqxRl5RcwcHKVte97i1qy7ZxwgglmKs4jRmKoLs1hewHXUvY+5WCwszzw4dFldi2Yi5W/EJ+6PNXQMNKDj9zdux4nZ2HLYebKYlUq0BcHLzb8CCpK3B6rVbw2NijFo4JYxe9lw7KL+YLWlsfafIchg5ltKEVVMR5VSFW2ZrAMgOXiygXNrmujpsTvndfJT/8Agf8A6p87r5Of/wAL/wDVUaUGDBYtZUWRLlW4XBB421B1B0rPUndXxWP7/vGqtQKjbU5mKwsnDMZYT95c6/1hqzUreWImAsou0RWVQOJKG5A863Hpq8PuTl08bx87kI/KTx+pLyH0d7t6asVCw+IXE4tHQho4Yr3BuC8trekIl/vjrq7TLiSGPO6UpSoUVryYRWkSQ3zIGC66DNa+nXzePnrYpTYx4iEOjI3BgQfMRY1O3ZmJw6o5u8RMT34lkOW/pADfeqrULGLLh5nkhiMyzAZlUqCsyiysbkc1lsCejKNKvHmXFOXF22cFiGkxM2ve4giAdBkPOc+cAoPSaqVobEwJhiCsczks8jdcjG7EdlzYdgFb9ZnrfDceuSlKVLSlKUEjbeHxDMpifvQHPRTycjG/RIQRa3QAp/i6KxbJxGGjbIEOHlbiJRldz2OSRJ91mtWTbm1JYWUJEcjA5pyC6RnoBRLueu+ijpYV4w2y4pwJJZflliGW5HJKwNxljXm3B1BbMw66CwZADYkA9V9a91x+3tlSPiZZAgZAmGv3u8jBXkLCJ76OLg2sb8NCQRVw+1S+KMayROo8NMpV47oCoJLaub3y5RYG5tpmQW6UpQKUpQKhbXw2IaS4JeCw71Ewhkvrclj4Q4WAZLdN+i7ULa+1pY5MmQQx2H/IkUyJfpFkPNt1uVGul6DPsfFYYXjiUQvxMbLychPSbHVvtC4PXVMSAm1xfqvrUzB7IiYpM7nFOpukjkMFNrXRVARdCRdRex1JqFgdmSJiBM8fM+VYg8yMiQF8yozNcl4SGOgAsSpNwDZO9F6dnSoOytrSPiHiky2HKZMgVgQrgeGJSwIB1DIutwCba+ttuyOCMVNGW8GKKGOUm3EgckzW7SbDsoM263isf3/eNVR3A1JAHabVx2wHBVETGYqIEnIsuHhTNzjcBjDYm99Ab1W20lp4pJY2lhCOCFjaXJISuVjGoLG4BFwDa/ReguKb6jWvtcz87GOWONEEUByWXIudczEDMnKq6A6WsjWub2sbdNQYcLhEiBEaKgJJIUADMeJ06azUpQKUpQKUpQKUpQKUpQKUpQKUpQTto7ZjhdYjmeZwSkSAF2A4kXIUDtJAqf8AM8ksglbLhCCD3kkyMBbSR9FI6CuVh1Hpq1jMHHKuWRFkXqYA69B7D21obrMfk4uWazzKCzFjZZnCi5JJsABr1UFasfIrfNlF+uwv66yUoFKUoFKUoFS8ZttFlMCK004UMY0sCFNwGYsQAuh6b6aA1UrU2hgI5l74ga2qngynrVhqp7QQaCZgtivywmYrhze7R4cnK/H9oSAH8+QHTjV6p+70hbC4dmJZjFGSSbkkoLknrqhQeFiUEkAAniQBc15SBQzMAAzWzHpNuHo7Ky0oIu70Cvg0VwGU57g/zGt6e2rVSd1fFY/v+8aq1B4MSk5rC44Gwv6690pQKUpQKUpQKUpQY8RAHUq17HjYlTxvxBBr7FGFAUcAABck6ec6mou8+0pI+TjiIRpM5zkZsqqBewOmYlhxuNDoa0dj7wurNFPyk5VVZXjgZjYlhZxGtgbrobC46NDQdXSpHdAnksT7LN8FO6BPJYn2Wb4KCvSpHdAnksT7LN8FO6BPJYn2Wb4KCvSpHdAnksT7LN8FO6BPJYn2Wb4KCvUjdXxf8Sf3718O8KeSxPss3wVz24e90c2FJEGJW0sw8XkfjIWGqqRwcadBBoO5pUjugTyWJ9lm+CndAnksT7LN8FBXpUjugTyWJ9lm+CndAnksT7LN8FBXpUjugTyWJ9lm+CpO7+/sWLEpXD4pOTkaM3w8jXI6eaDbzHUUHW15fgfNUrugTyWJ9lm+CtfaO9MccUkhhxTZFZrDCzC9hfiVt66Dc3Z8Tw38mL/QVTrjtzN6UkwOHbkcSO9Ivi0rC6jKSCqkEacatd0CeSxPss3wUFelSO6BPJYn2Wb4K8T7yRqrMYcUQoJ0ws3QL/u0GTdbxWP7/vGqtXE7i72JLg425DErq4t8nkceGeBVSDxq/wB0CeSxPss3wUFevjrcEHgfRUnugTyWJ9lm+CtLa+8+SPvccquzKitLh5URSxtckgDTquLmwoL2FwyxrlW9u1mY+tiTWauV2FtWYTrFLJywkDlWKqjKyi58EAFCOy4NtTfTZwW2ZmdCQhjladUUAh1MZNrsWINwp+iLXHGg6GlTdnbYWZlVVP7MO17cwliAp/iurflqlQKUpQae09mx4hMsgJAN1IYoyt1qykEHW2nEEg6GvOytlR4dSIwbsbszMXZj2sST6OArepQKUpQKUpQKUpQK+KoHDSvtKBSlKBSlKCTtnGTxc6NEdNPoyM1+kkKLW7a5zYu15gXVERzJK7myS83MRxtfQdddriPAbzH/ABXJ7m/tW+wf9loOrw2fKOUy5unLfL6L61lpSg+KLaDSvtKUClKUHxVA0GlfaUoFYcZhUlQpIuZW4j/9GoPaKzUoJmythQ4diyBmci2aSRpGC34AsTYaDhxsL3tWTD7HhSQyqpDnNxdyq5jd8qFsqkkXJUC/TW/Sg1MDs2KEyGNAplcu+pN3IAvqdOHAaces1t0pQf/Z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>
          <a:spLocks noChangeAspect="1" noChangeArrowheads="1"/>
        </xdr:cNvSpPr>
      </xdr:nvSpPr>
      <xdr:spPr bwMode="auto">
        <a:xfrm>
          <a:off x="12428220" y="312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18</xdr:col>
      <xdr:colOff>104775</xdr:colOff>
      <xdr:row>8</xdr:row>
      <xdr:rowOff>161925</xdr:rowOff>
    </xdr:from>
    <xdr:to>
      <xdr:col>22</xdr:col>
      <xdr:colOff>0</xdr:colOff>
      <xdr:row>21</xdr:row>
      <xdr:rowOff>74295</xdr:rowOff>
    </xdr:to>
    <xdr:pic>
      <xdr:nvPicPr>
        <xdr:cNvPr id="7" name="Picture 6" descr="http://hyperphysics.phy-astr.gsu.edu/hbase/electronic/ietron2/jfetamp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68075" y="1762125"/>
          <a:ext cx="2333625" cy="2409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W59"/>
  <sheetViews>
    <sheetView tabSelected="1" topLeftCell="F4" workbookViewId="0">
      <selection activeCell="O10" sqref="O10"/>
    </sheetView>
  </sheetViews>
  <sheetFormatPr defaultRowHeight="15"/>
  <cols>
    <col min="5" max="5" width="10.42578125" customWidth="1"/>
    <col min="9" max="9" width="10.7109375" bestFit="1" customWidth="1"/>
    <col min="11" max="11" width="9.7109375" bestFit="1" customWidth="1"/>
  </cols>
  <sheetData>
    <row r="2" spans="2:23" ht="21">
      <c r="F2" s="96" t="s">
        <v>0</v>
      </c>
    </row>
    <row r="3" spans="2:23" ht="21">
      <c r="F3" s="96" t="s">
        <v>1</v>
      </c>
      <c r="K3" s="93">
        <v>42248</v>
      </c>
    </row>
    <row r="4" spans="2:23">
      <c r="F4" s="14"/>
      <c r="I4" s="37"/>
    </row>
    <row r="5" spans="2:23" thickBot="1"/>
    <row r="6" spans="2:23" ht="18.600000000000001" thickBot="1">
      <c r="B6" s="40" t="s">
        <v>2</v>
      </c>
      <c r="C6" s="41"/>
      <c r="D6" s="42"/>
      <c r="F6" s="97" t="s">
        <v>3</v>
      </c>
      <c r="G6" s="63"/>
      <c r="H6" s="102" t="s">
        <v>4</v>
      </c>
      <c r="I6" s="13"/>
      <c r="J6" s="94"/>
    </row>
    <row r="7" spans="2:23" thickBot="1">
      <c r="B7" s="77" t="s">
        <v>5</v>
      </c>
      <c r="C7" s="78" t="s">
        <v>6</v>
      </c>
      <c r="D7" s="79" t="s">
        <v>7</v>
      </c>
      <c r="F7" s="92" t="s">
        <v>7</v>
      </c>
      <c r="G7" s="103">
        <f>VLOOKUP($H$6,$B$8:$D$13, 3,FALSE)</f>
        <v>0.64</v>
      </c>
      <c r="H7" s="95" t="s">
        <v>8</v>
      </c>
    </row>
    <row r="8" spans="2:23" ht="14.45">
      <c r="B8" s="80" t="s">
        <v>4</v>
      </c>
      <c r="C8" s="38">
        <v>-0.83</v>
      </c>
      <c r="D8" s="83">
        <v>0.64</v>
      </c>
      <c r="F8" s="92" t="s">
        <v>6</v>
      </c>
      <c r="G8" s="103">
        <f>VLOOKUP($H$6,$B$8:$D$13, 2,FALSE)</f>
        <v>-0.83</v>
      </c>
      <c r="H8" s="95" t="s">
        <v>9</v>
      </c>
      <c r="J8" s="14" t="s">
        <v>10</v>
      </c>
      <c r="K8" s="98">
        <v>1500</v>
      </c>
      <c r="L8" s="7" t="s">
        <v>11</v>
      </c>
      <c r="N8" s="14" t="s">
        <v>10</v>
      </c>
      <c r="O8" s="100">
        <v>1500</v>
      </c>
      <c r="P8" s="7" t="s">
        <v>11</v>
      </c>
    </row>
    <row r="9" spans="2:23" ht="14.45">
      <c r="B9" s="81" t="s">
        <v>12</v>
      </c>
      <c r="C9" s="38">
        <v>-2</v>
      </c>
      <c r="D9" s="84">
        <v>2.7</v>
      </c>
      <c r="F9" s="95" t="s">
        <v>13</v>
      </c>
      <c r="G9" s="104">
        <v>9</v>
      </c>
      <c r="H9" s="95" t="s">
        <v>9</v>
      </c>
      <c r="J9" s="14" t="s">
        <v>14</v>
      </c>
      <c r="K9" s="99">
        <v>4.5</v>
      </c>
      <c r="L9" t="s">
        <v>9</v>
      </c>
      <c r="N9" s="14" t="s">
        <v>15</v>
      </c>
      <c r="O9" s="101">
        <v>22000</v>
      </c>
      <c r="P9" s="7" t="s">
        <v>11</v>
      </c>
      <c r="R9" s="64"/>
      <c r="S9" s="65"/>
      <c r="T9" s="65"/>
      <c r="U9" s="65"/>
      <c r="V9" s="65"/>
      <c r="W9" s="66"/>
    </row>
    <row r="10" spans="2:23" ht="14.45">
      <c r="B10" s="81" t="s">
        <v>16</v>
      </c>
      <c r="C10" s="38">
        <v>-1.58</v>
      </c>
      <c r="D10" s="84">
        <v>3.27</v>
      </c>
      <c r="R10" s="67"/>
      <c r="S10" s="68"/>
      <c r="T10" s="68"/>
      <c r="U10" s="68"/>
      <c r="V10" s="68"/>
      <c r="W10" s="69"/>
    </row>
    <row r="11" spans="2:23" ht="14.45">
      <c r="B11" s="81" t="s">
        <v>17</v>
      </c>
      <c r="C11" s="38">
        <v>-2.1800000000000002</v>
      </c>
      <c r="D11" s="84">
        <v>5.22</v>
      </c>
      <c r="R11" s="67"/>
      <c r="S11" s="68"/>
      <c r="T11" s="68"/>
      <c r="U11" s="68"/>
      <c r="V11" s="68"/>
      <c r="W11" s="69"/>
    </row>
    <row r="12" spans="2:23" thickBot="1">
      <c r="B12" s="82" t="s">
        <v>18</v>
      </c>
      <c r="C12" s="39">
        <v>-2.34</v>
      </c>
      <c r="D12" s="85">
        <v>5.65</v>
      </c>
      <c r="R12" s="67"/>
      <c r="S12" s="70"/>
      <c r="T12" s="68"/>
      <c r="U12" s="68"/>
      <c r="V12" s="68"/>
      <c r="W12" s="69"/>
    </row>
    <row r="13" spans="2:23" ht="18.600000000000001" thickBot="1">
      <c r="B13" s="82" t="s">
        <v>19</v>
      </c>
      <c r="C13" s="39">
        <v>-0.98</v>
      </c>
      <c r="D13" s="85">
        <v>1</v>
      </c>
      <c r="F13" s="60" t="s">
        <v>20</v>
      </c>
      <c r="G13" s="74"/>
      <c r="H13" s="75"/>
      <c r="J13" s="60" t="s">
        <v>21</v>
      </c>
      <c r="K13" s="61"/>
      <c r="L13" s="62"/>
      <c r="N13" s="60" t="s">
        <v>22</v>
      </c>
      <c r="O13" s="61"/>
      <c r="P13" s="62"/>
      <c r="R13" s="67"/>
      <c r="S13" s="68"/>
      <c r="T13" s="68"/>
      <c r="U13" s="68"/>
      <c r="V13" s="68"/>
      <c r="W13" s="69"/>
    </row>
    <row r="14" spans="2:23" ht="14.45">
      <c r="F14" s="9" t="s">
        <v>23</v>
      </c>
      <c r="G14" s="76">
        <v>0</v>
      </c>
      <c r="H14" s="8" t="s">
        <v>9</v>
      </c>
      <c r="J14" s="49" t="s">
        <v>23</v>
      </c>
      <c r="K14" s="51">
        <v>0</v>
      </c>
      <c r="L14" s="10" t="s">
        <v>9</v>
      </c>
      <c r="N14" s="9" t="s">
        <v>23</v>
      </c>
      <c r="O14" s="51">
        <v>0</v>
      </c>
      <c r="P14" s="10" t="s">
        <v>9</v>
      </c>
      <c r="R14" s="67"/>
      <c r="S14" s="68"/>
      <c r="T14" s="68"/>
      <c r="U14" s="68"/>
      <c r="V14" s="68"/>
      <c r="W14" s="69"/>
    </row>
    <row r="15" spans="2:23">
      <c r="F15" s="9" t="s">
        <v>24</v>
      </c>
      <c r="G15" s="51">
        <f>G8/3.414</f>
        <v>-0.24311657879320442</v>
      </c>
      <c r="H15" s="10" t="s">
        <v>9</v>
      </c>
      <c r="J15" s="49" t="s">
        <v>24</v>
      </c>
      <c r="K15" s="51">
        <f>-K20*K22/1000</f>
        <v>-0.33771431269056723</v>
      </c>
      <c r="L15" s="10" t="s">
        <v>9</v>
      </c>
      <c r="N15" s="9" t="s">
        <v>24</v>
      </c>
      <c r="O15" s="51">
        <f>-O20*O22/1000</f>
        <v>-0.33771431269056723</v>
      </c>
      <c r="P15" s="10" t="s">
        <v>9</v>
      </c>
      <c r="R15" s="67"/>
      <c r="S15" s="68"/>
      <c r="T15" s="68"/>
      <c r="U15" s="68"/>
      <c r="V15" s="68"/>
      <c r="W15" s="69"/>
    </row>
    <row r="16" spans="2:23">
      <c r="F16" s="9" t="s">
        <v>14</v>
      </c>
      <c r="G16" s="52">
        <f>G9/2</f>
        <v>4.5</v>
      </c>
      <c r="H16" s="10" t="s">
        <v>9</v>
      </c>
      <c r="J16" s="49" t="s">
        <v>14</v>
      </c>
      <c r="K16" s="52">
        <f>K9</f>
        <v>4.5</v>
      </c>
      <c r="L16" s="10" t="s">
        <v>9</v>
      </c>
      <c r="N16" s="9" t="s">
        <v>14</v>
      </c>
      <c r="O16" s="52">
        <f>G9-O19*O9/1000</f>
        <v>4.0468567472050143</v>
      </c>
      <c r="P16" s="10" t="s">
        <v>9</v>
      </c>
      <c r="R16" s="67"/>
      <c r="S16" s="68"/>
      <c r="T16" s="68"/>
      <c r="U16" s="68"/>
      <c r="V16" s="68"/>
      <c r="W16" s="69"/>
    </row>
    <row r="17" spans="4:23">
      <c r="F17" s="9" t="s">
        <v>25</v>
      </c>
      <c r="G17" s="51">
        <f>-G15</f>
        <v>0.24311657879320442</v>
      </c>
      <c r="H17" s="10" t="s">
        <v>9</v>
      </c>
      <c r="J17" s="49" t="s">
        <v>25</v>
      </c>
      <c r="K17" s="51">
        <f>-K15</f>
        <v>0.33771431269056723</v>
      </c>
      <c r="L17" s="10" t="s">
        <v>9</v>
      </c>
      <c r="N17" s="9" t="s">
        <v>25</v>
      </c>
      <c r="O17" s="51">
        <f>-O15</f>
        <v>0.33771431269056723</v>
      </c>
      <c r="P17" s="10" t="s">
        <v>9</v>
      </c>
      <c r="R17" s="67"/>
      <c r="S17" s="68"/>
      <c r="T17" s="68"/>
      <c r="U17" s="68"/>
      <c r="V17" s="68"/>
      <c r="W17" s="69"/>
    </row>
    <row r="18" spans="4:23">
      <c r="F18" s="9" t="s">
        <v>26</v>
      </c>
      <c r="G18" s="51">
        <v>0</v>
      </c>
      <c r="H18" s="10" t="s">
        <v>8</v>
      </c>
      <c r="J18" s="49" t="s">
        <v>26</v>
      </c>
      <c r="K18" s="51">
        <v>0</v>
      </c>
      <c r="L18" s="10" t="s">
        <v>8</v>
      </c>
      <c r="N18" s="9" t="s">
        <v>26</v>
      </c>
      <c r="O18" s="51">
        <v>0</v>
      </c>
      <c r="P18" s="10" t="s">
        <v>8</v>
      </c>
      <c r="R18" s="67"/>
      <c r="S18" s="68"/>
      <c r="T18" s="68"/>
      <c r="U18" s="68"/>
      <c r="V18" s="68"/>
      <c r="W18" s="69"/>
    </row>
    <row r="19" spans="4:23">
      <c r="F19" s="9" t="s">
        <v>27</v>
      </c>
      <c r="G19" s="51">
        <f>G7/2</f>
        <v>0.32</v>
      </c>
      <c r="H19" s="10" t="s">
        <v>8</v>
      </c>
      <c r="J19" s="49" t="s">
        <v>27</v>
      </c>
      <c r="K19" s="51">
        <f>(-K32-SQRT(K32^2-4*K31))/(2*K31)*1000</f>
        <v>0.22514287512704481</v>
      </c>
      <c r="L19" s="10" t="s">
        <v>8</v>
      </c>
      <c r="N19" s="9" t="s">
        <v>27</v>
      </c>
      <c r="O19" s="51">
        <f>(-O32-SQRT(O32^2-4*O31))/(2*O31)*1000</f>
        <v>0.22514287512704481</v>
      </c>
      <c r="P19" s="10" t="s">
        <v>8</v>
      </c>
      <c r="R19" s="67"/>
      <c r="S19" s="68"/>
      <c r="T19" s="68"/>
      <c r="U19" s="68"/>
      <c r="V19" s="68"/>
      <c r="W19" s="69"/>
    </row>
    <row r="20" spans="4:23">
      <c r="F20" s="9" t="s">
        <v>28</v>
      </c>
      <c r="G20" s="51">
        <f>G19</f>
        <v>0.32</v>
      </c>
      <c r="H20" s="10" t="s">
        <v>8</v>
      </c>
      <c r="J20" s="49" t="s">
        <v>28</v>
      </c>
      <c r="K20" s="51">
        <f>K19</f>
        <v>0.22514287512704481</v>
      </c>
      <c r="L20" s="10" t="s">
        <v>8</v>
      </c>
      <c r="N20" s="9" t="s">
        <v>28</v>
      </c>
      <c r="O20" s="51">
        <f>O19</f>
        <v>0.22514287512704481</v>
      </c>
      <c r="P20" s="10" t="s">
        <v>8</v>
      </c>
      <c r="R20" s="67"/>
      <c r="S20" s="68"/>
      <c r="T20" s="68"/>
      <c r="U20" s="68"/>
      <c r="V20" s="68"/>
      <c r="W20" s="69"/>
    </row>
    <row r="21" spans="4:23">
      <c r="F21" s="9" t="s">
        <v>15</v>
      </c>
      <c r="G21" s="53">
        <f>(G9-G16)/G19*1000</f>
        <v>14062.5</v>
      </c>
      <c r="H21" s="54" t="s">
        <v>11</v>
      </c>
      <c r="J21" s="49" t="s">
        <v>15</v>
      </c>
      <c r="K21" s="53">
        <f>(G9-K9)/K19*1000</f>
        <v>19987.30804810375</v>
      </c>
      <c r="L21" s="54" t="s">
        <v>11</v>
      </c>
      <c r="N21" s="9" t="s">
        <v>15</v>
      </c>
      <c r="O21" s="53">
        <f>O9</f>
        <v>22000</v>
      </c>
      <c r="P21" s="54" t="s">
        <v>11</v>
      </c>
      <c r="R21" s="67"/>
      <c r="S21" s="68"/>
      <c r="T21" s="68"/>
      <c r="U21" s="68"/>
      <c r="V21" s="68"/>
      <c r="W21" s="69"/>
    </row>
    <row r="22" spans="4:23">
      <c r="F22" s="9" t="s">
        <v>10</v>
      </c>
      <c r="G22" s="55">
        <f>-G15/G19*1000</f>
        <v>759.73930872876383</v>
      </c>
      <c r="H22" s="54" t="s">
        <v>11</v>
      </c>
      <c r="J22" s="49" t="s">
        <v>10</v>
      </c>
      <c r="K22" s="55">
        <f>K8</f>
        <v>1500</v>
      </c>
      <c r="L22" s="54" t="s">
        <v>11</v>
      </c>
      <c r="N22" s="9" t="s">
        <v>10</v>
      </c>
      <c r="O22" s="55">
        <f>O8</f>
        <v>1500</v>
      </c>
      <c r="P22" s="54" t="s">
        <v>11</v>
      </c>
      <c r="R22" s="71"/>
      <c r="S22" s="72"/>
      <c r="T22" s="72"/>
      <c r="U22" s="72"/>
      <c r="V22" s="72"/>
      <c r="W22" s="73"/>
    </row>
    <row r="23" spans="4:23">
      <c r="F23" s="9" t="s">
        <v>29</v>
      </c>
      <c r="G23" s="9">
        <v>1000000</v>
      </c>
      <c r="H23" s="54" t="s">
        <v>11</v>
      </c>
      <c r="J23" s="49" t="s">
        <v>29</v>
      </c>
      <c r="K23" s="9">
        <v>1000000</v>
      </c>
      <c r="L23" s="54" t="s">
        <v>11</v>
      </c>
      <c r="N23" s="9" t="s">
        <v>29</v>
      </c>
      <c r="O23" s="9">
        <v>1000000</v>
      </c>
      <c r="P23" s="54" t="s">
        <v>11</v>
      </c>
    </row>
    <row r="24" spans="4:23" ht="14.45">
      <c r="F24" s="9" t="s">
        <v>30</v>
      </c>
      <c r="G24" s="9">
        <f>2*G7/ABS(G8)</f>
        <v>1.5421686746987953</v>
      </c>
      <c r="H24" s="10" t="s">
        <v>31</v>
      </c>
      <c r="J24" s="49" t="s">
        <v>30</v>
      </c>
      <c r="K24" s="9">
        <f>2*G7/ABS(G8)</f>
        <v>1.5421686746987953</v>
      </c>
      <c r="L24" s="10" t="s">
        <v>31</v>
      </c>
      <c r="N24" s="9" t="s">
        <v>30</v>
      </c>
      <c r="O24" s="9">
        <f>2*G7/ABS(G8)</f>
        <v>1.5421686746987953</v>
      </c>
      <c r="P24" s="10" t="s">
        <v>31</v>
      </c>
      <c r="R24" s="12" t="s">
        <v>32</v>
      </c>
    </row>
    <row r="25" spans="4:23" ht="14.45">
      <c r="F25" s="9" t="s">
        <v>33</v>
      </c>
      <c r="G25" s="9">
        <f>G24*(1-G15/G8)</f>
        <v>1.0904496721508177</v>
      </c>
      <c r="H25" s="10" t="s">
        <v>31</v>
      </c>
      <c r="J25" s="49" t="s">
        <v>33</v>
      </c>
      <c r="K25" s="9">
        <f>K24*(1-K15/G8)</f>
        <v>0.91468381442310054</v>
      </c>
      <c r="L25" s="10" t="s">
        <v>31</v>
      </c>
      <c r="N25" s="9" t="s">
        <v>33</v>
      </c>
      <c r="O25" s="9">
        <f>O24*(1-O15/$G$8)</f>
        <v>0.91468381442310054</v>
      </c>
      <c r="P25" s="10" t="s">
        <v>31</v>
      </c>
    </row>
    <row r="26" spans="4:23" ht="14.45">
      <c r="D26" s="12" t="s">
        <v>34</v>
      </c>
      <c r="F26" s="9" t="s">
        <v>35</v>
      </c>
      <c r="G26" s="56">
        <f>G25*G21/1000</f>
        <v>15.334448514620874</v>
      </c>
      <c r="H26" s="10" t="s">
        <v>36</v>
      </c>
      <c r="J26" s="49" t="s">
        <v>35</v>
      </c>
      <c r="K26" s="56">
        <f>K25*K21/1000</f>
        <v>18.282067165489075</v>
      </c>
      <c r="L26" s="10" t="s">
        <v>36</v>
      </c>
      <c r="N26" s="9" t="s">
        <v>35</v>
      </c>
      <c r="O26" s="56">
        <f>O25*O21/1000</f>
        <v>20.123043917308213</v>
      </c>
      <c r="P26" s="10" t="s">
        <v>36</v>
      </c>
    </row>
    <row r="27" spans="4:23" ht="14.45">
      <c r="D27" s="43" t="s">
        <v>37</v>
      </c>
      <c r="F27" s="9" t="s">
        <v>38</v>
      </c>
      <c r="G27" s="56">
        <f>G26/(1+G25*G22/1000)</f>
        <v>8.3865491439189661</v>
      </c>
      <c r="H27" s="10" t="s">
        <v>36</v>
      </c>
      <c r="J27" s="49" t="s">
        <v>38</v>
      </c>
      <c r="K27" s="56">
        <f>K26/(1+K25*K22/1000)</f>
        <v>7.707364637214063</v>
      </c>
      <c r="L27" s="10" t="s">
        <v>36</v>
      </c>
      <c r="N27" s="9" t="s">
        <v>38</v>
      </c>
      <c r="O27" s="56">
        <f>O26/(1+O25*O22/1000)</f>
        <v>8.483484699921668</v>
      </c>
      <c r="P27" s="10" t="s">
        <v>36</v>
      </c>
    </row>
    <row r="28" spans="4:23" ht="14.45">
      <c r="D28" s="43"/>
      <c r="F28" s="9" t="s">
        <v>39</v>
      </c>
      <c r="G28" s="57">
        <v>50</v>
      </c>
      <c r="H28" s="10" t="s">
        <v>40</v>
      </c>
      <c r="J28" s="49" t="s">
        <v>39</v>
      </c>
      <c r="K28" s="57">
        <v>50</v>
      </c>
      <c r="L28" s="10" t="s">
        <v>40</v>
      </c>
      <c r="N28" s="9" t="s">
        <v>39</v>
      </c>
      <c r="O28" s="57">
        <v>50</v>
      </c>
      <c r="P28" s="10" t="s">
        <v>40</v>
      </c>
    </row>
    <row r="29" spans="4:23" ht="14.45">
      <c r="D29" s="43"/>
      <c r="F29" s="11" t="s">
        <v>41</v>
      </c>
      <c r="G29" s="58">
        <f>1/(2*PI()*G28*G22)*1000000</f>
        <v>4.1897251139526226</v>
      </c>
      <c r="H29" s="59" t="s">
        <v>42</v>
      </c>
      <c r="J29" s="50" t="s">
        <v>41</v>
      </c>
      <c r="K29" s="58">
        <f>1/(2*PI()*K28*K22)*1000000</f>
        <v>2.1220659078919382</v>
      </c>
      <c r="L29" s="59" t="s">
        <v>42</v>
      </c>
      <c r="N29" s="11" t="s">
        <v>41</v>
      </c>
      <c r="O29" s="58">
        <f>1/(2*PI()*O28*O22)*1000000</f>
        <v>2.1220659078919382</v>
      </c>
      <c r="P29" s="59" t="s">
        <v>42</v>
      </c>
    </row>
    <row r="31" spans="4:23">
      <c r="F31" s="86" t="s">
        <v>43</v>
      </c>
      <c r="G31" s="87"/>
      <c r="J31" t="s">
        <v>44</v>
      </c>
      <c r="K31">
        <f>(K22/G8)^2</f>
        <v>3266076.3536072001</v>
      </c>
      <c r="N31" t="s">
        <v>44</v>
      </c>
      <c r="O31">
        <f>(O22/G8)^2</f>
        <v>3266076.3536072001</v>
      </c>
    </row>
    <row r="32" spans="4:23">
      <c r="F32" s="88" t="s">
        <v>45</v>
      </c>
      <c r="G32" s="89"/>
      <c r="J32" t="s">
        <v>46</v>
      </c>
      <c r="K32">
        <f>(2*K22/G8-1/(G7/1000))</f>
        <v>-5176.9578313253014</v>
      </c>
      <c r="N32" t="s">
        <v>46</v>
      </c>
      <c r="O32">
        <f>(2*O22/G8-1/(G7/1000))</f>
        <v>-5176.9578313253014</v>
      </c>
    </row>
    <row r="33" spans="6:20">
      <c r="F33" s="90" t="s">
        <v>47</v>
      </c>
      <c r="G33" s="91"/>
    </row>
    <row r="35" spans="6:20" ht="15.75" thickBot="1"/>
    <row r="36" spans="6:20" ht="19.5" thickBot="1">
      <c r="F36" s="60" t="s">
        <v>48</v>
      </c>
      <c r="G36" s="61"/>
      <c r="H36" s="62"/>
      <c r="J36" s="33"/>
      <c r="K36" s="34" t="s">
        <v>49</v>
      </c>
      <c r="L36" s="34"/>
      <c r="M36" s="35"/>
      <c r="N36" s="35"/>
      <c r="O36" s="36"/>
    </row>
    <row r="37" spans="6:20">
      <c r="F37" s="49" t="s">
        <v>23</v>
      </c>
      <c r="G37" s="51">
        <v>0</v>
      </c>
      <c r="H37" s="10" t="s">
        <v>9</v>
      </c>
      <c r="J37" s="15">
        <v>1</v>
      </c>
      <c r="K37" s="16" t="s">
        <v>50</v>
      </c>
      <c r="L37" s="16"/>
      <c r="M37" s="16"/>
      <c r="N37" s="16"/>
      <c r="O37" s="17"/>
    </row>
    <row r="38" spans="6:20">
      <c r="F38" s="49" t="s">
        <v>24</v>
      </c>
      <c r="G38" s="51">
        <f>-G40</f>
        <v>-0.31554700272479563</v>
      </c>
      <c r="H38" s="10" t="s">
        <v>9</v>
      </c>
      <c r="J38" s="15">
        <v>2</v>
      </c>
      <c r="K38" s="16" t="s">
        <v>51</v>
      </c>
      <c r="L38" s="16"/>
      <c r="M38" s="16"/>
      <c r="N38" s="16"/>
      <c r="O38" s="17"/>
    </row>
    <row r="39" spans="6:20">
      <c r="F39" s="49" t="s">
        <v>14</v>
      </c>
      <c r="G39" s="52">
        <f>0.6*$G$9+0.7*ABS($G$8)</f>
        <v>5.9809999999999999</v>
      </c>
      <c r="H39" s="10" t="s">
        <v>9</v>
      </c>
      <c r="J39" s="15">
        <v>3</v>
      </c>
      <c r="K39" s="16" t="s">
        <v>52</v>
      </c>
      <c r="L39" s="16"/>
      <c r="M39" s="16"/>
      <c r="N39" s="16"/>
      <c r="O39" s="17"/>
    </row>
    <row r="40" spans="6:20">
      <c r="F40" s="49" t="s">
        <v>25</v>
      </c>
      <c r="G40" s="51">
        <f>ABS(G8)*(0.37*G9-0.65*ABS(G8))/(G9-2*ABS(G8))</f>
        <v>0.31554700272479563</v>
      </c>
      <c r="H40" s="10" t="s">
        <v>9</v>
      </c>
      <c r="J40" s="18">
        <v>4</v>
      </c>
      <c r="K40" s="19" t="s">
        <v>53</v>
      </c>
      <c r="L40" s="19"/>
      <c r="M40" s="19"/>
      <c r="N40" s="19"/>
      <c r="O40" s="20"/>
    </row>
    <row r="41" spans="6:20">
      <c r="F41" s="49" t="s">
        <v>26</v>
      </c>
      <c r="G41" s="51">
        <v>0</v>
      </c>
      <c r="H41" s="10" t="s">
        <v>8</v>
      </c>
      <c r="J41" s="13"/>
      <c r="K41" s="14"/>
      <c r="L41" s="14"/>
      <c r="M41" s="14"/>
      <c r="N41" s="14"/>
      <c r="O41" s="14"/>
    </row>
    <row r="42" spans="6:20" ht="18.75">
      <c r="F42" s="49" t="s">
        <v>27</v>
      </c>
      <c r="G42" s="51">
        <f>G7*(0.44*G9-0.78*ABS(G8))/(G9-2*ABS(G8))</f>
        <v>0.2888370572207084</v>
      </c>
      <c r="H42" s="10" t="s">
        <v>8</v>
      </c>
      <c r="J42" s="29"/>
      <c r="K42" s="30" t="s">
        <v>54</v>
      </c>
      <c r="L42" s="31"/>
      <c r="M42" s="31"/>
      <c r="N42" s="31"/>
      <c r="O42" s="32"/>
    </row>
    <row r="43" spans="6:20">
      <c r="F43" s="49" t="s">
        <v>28</v>
      </c>
      <c r="G43" s="51">
        <f>G42</f>
        <v>0.2888370572207084</v>
      </c>
      <c r="H43" s="10" t="s">
        <v>8</v>
      </c>
      <c r="J43" s="46">
        <v>1</v>
      </c>
      <c r="K43" s="47" t="s">
        <v>55</v>
      </c>
      <c r="L43" s="44"/>
      <c r="M43" s="44"/>
      <c r="N43" s="44"/>
      <c r="O43" s="45"/>
    </row>
    <row r="44" spans="6:20">
      <c r="F44" s="49" t="s">
        <v>15</v>
      </c>
      <c r="G44" s="53">
        <f>0.9*(G9-2*ABS(G8))/G7*1000</f>
        <v>10321.875</v>
      </c>
      <c r="H44" s="54" t="s">
        <v>11</v>
      </c>
      <c r="J44" s="21">
        <v>2</v>
      </c>
      <c r="K44" s="22" t="s">
        <v>56</v>
      </c>
      <c r="L44" s="23"/>
      <c r="M44" s="23"/>
      <c r="N44" s="23"/>
      <c r="O44" s="24"/>
    </row>
    <row r="45" spans="6:20">
      <c r="F45" s="49" t="s">
        <v>10</v>
      </c>
      <c r="G45" s="55">
        <f>0.83*ABS(G8)/G7*1000</f>
        <v>1076.40625</v>
      </c>
      <c r="H45" s="54" t="s">
        <v>11</v>
      </c>
      <c r="J45" s="21">
        <v>3</v>
      </c>
      <c r="K45" s="22" t="s">
        <v>57</v>
      </c>
      <c r="L45" s="23"/>
      <c r="M45" s="23"/>
      <c r="N45" s="23"/>
      <c r="O45" s="24"/>
    </row>
    <row r="46" spans="6:20">
      <c r="F46" s="49" t="s">
        <v>29</v>
      </c>
      <c r="G46" s="9">
        <v>1000000</v>
      </c>
      <c r="H46" s="54" t="s">
        <v>11</v>
      </c>
      <c r="J46" s="21">
        <v>4</v>
      </c>
      <c r="K46" s="22" t="s">
        <v>58</v>
      </c>
      <c r="L46" s="23"/>
      <c r="M46" s="23"/>
      <c r="N46" s="23"/>
      <c r="O46" s="24"/>
    </row>
    <row r="47" spans="6:20">
      <c r="F47" s="49" t="s">
        <v>30</v>
      </c>
      <c r="G47" s="9">
        <f>2*G7/ABS($G$8)</f>
        <v>1.5421686746987953</v>
      </c>
      <c r="H47" s="10" t="s">
        <v>31</v>
      </c>
      <c r="J47" s="21">
        <v>5</v>
      </c>
      <c r="K47" s="22" t="s">
        <v>59</v>
      </c>
      <c r="L47" s="23"/>
      <c r="M47" s="23"/>
      <c r="N47" s="23"/>
      <c r="O47" s="24"/>
    </row>
    <row r="48" spans="6:20">
      <c r="F48" s="49" t="s">
        <v>33</v>
      </c>
      <c r="G48" s="9">
        <f>G47*(1-G38/$G$8)</f>
        <v>0.95587144217195763</v>
      </c>
      <c r="H48" s="10" t="s">
        <v>31</v>
      </c>
      <c r="J48" s="21">
        <v>6</v>
      </c>
      <c r="K48" s="22" t="s">
        <v>60</v>
      </c>
      <c r="L48" s="23"/>
      <c r="M48" s="23"/>
      <c r="N48" s="23"/>
      <c r="O48" s="24"/>
      <c r="R48" t="s">
        <v>61</v>
      </c>
      <c r="S48" s="1" t="s">
        <v>24</v>
      </c>
      <c r="T48" s="1" t="s">
        <v>27</v>
      </c>
    </row>
    <row r="49" spans="4:20">
      <c r="D49" s="12" t="s">
        <v>34</v>
      </c>
      <c r="F49" s="49" t="s">
        <v>35</v>
      </c>
      <c r="G49" s="56">
        <f>G48*G44/1000</f>
        <v>9.8663855421686755</v>
      </c>
      <c r="H49" s="10" t="s">
        <v>36</v>
      </c>
      <c r="J49" s="21">
        <v>7</v>
      </c>
      <c r="K49" s="22" t="s">
        <v>62</v>
      </c>
      <c r="L49" s="23"/>
      <c r="M49" s="23"/>
      <c r="N49" s="23"/>
      <c r="O49" s="24"/>
      <c r="R49">
        <v>0</v>
      </c>
      <c r="S49" s="2">
        <f t="shared" ref="S49:S59" si="0">$G$8*(1-R49/10)</f>
        <v>-0.83</v>
      </c>
      <c r="T49" s="2">
        <f>$G$7*(1-S49/$G$8)^2</f>
        <v>0</v>
      </c>
    </row>
    <row r="50" spans="4:20">
      <c r="D50" s="43" t="s">
        <v>37</v>
      </c>
      <c r="F50" s="49" t="s">
        <v>38</v>
      </c>
      <c r="G50" s="56">
        <f>G49/(1+G48*G45/1000)</f>
        <v>4.8629091582702904</v>
      </c>
      <c r="H50" s="10" t="s">
        <v>36</v>
      </c>
      <c r="J50" s="25">
        <v>8</v>
      </c>
      <c r="K50" s="26" t="s">
        <v>63</v>
      </c>
      <c r="L50" s="27"/>
      <c r="M50" s="27"/>
      <c r="N50" s="27"/>
      <c r="O50" s="28"/>
      <c r="R50">
        <v>1</v>
      </c>
      <c r="S50" s="2">
        <f t="shared" si="0"/>
        <v>-0.747</v>
      </c>
      <c r="T50" s="2">
        <f t="shared" ref="T50:T59" si="1">$G$7*(1-S50/$G$8)^2</f>
        <v>6.3999999999999968E-3</v>
      </c>
    </row>
    <row r="51" spans="4:20">
      <c r="F51" s="49" t="s">
        <v>39</v>
      </c>
      <c r="G51" s="57">
        <v>50</v>
      </c>
      <c r="H51" s="10" t="s">
        <v>40</v>
      </c>
      <c r="R51">
        <v>2</v>
      </c>
      <c r="S51" s="2">
        <f t="shared" si="0"/>
        <v>-0.66400000000000003</v>
      </c>
      <c r="T51" s="2">
        <f t="shared" si="1"/>
        <v>2.5599999999999987E-2</v>
      </c>
    </row>
    <row r="52" spans="4:20">
      <c r="F52" s="50" t="s">
        <v>41</v>
      </c>
      <c r="G52" s="58">
        <f>1/(2*PI()*G51*G45)*1000000</f>
        <v>2.95715382722639</v>
      </c>
      <c r="H52" s="59" t="s">
        <v>42</v>
      </c>
      <c r="R52">
        <v>3</v>
      </c>
      <c r="S52" s="2">
        <f t="shared" si="0"/>
        <v>-0.58099999999999996</v>
      </c>
      <c r="T52" s="2">
        <f t="shared" si="1"/>
        <v>5.7600000000000019E-2</v>
      </c>
    </row>
    <row r="53" spans="4:20">
      <c r="F53" s="48"/>
      <c r="G53" s="48"/>
      <c r="H53" s="48"/>
      <c r="I53" s="48"/>
      <c r="R53">
        <v>4</v>
      </c>
      <c r="S53" s="2">
        <f t="shared" si="0"/>
        <v>-0.49799999999999994</v>
      </c>
      <c r="T53" s="2">
        <f t="shared" si="1"/>
        <v>0.10240000000000002</v>
      </c>
    </row>
    <row r="54" spans="4:20">
      <c r="F54" s="48"/>
      <c r="G54" s="48"/>
      <c r="H54" s="48"/>
      <c r="I54" s="48"/>
      <c r="R54">
        <v>5</v>
      </c>
      <c r="S54" s="2">
        <f t="shared" si="0"/>
        <v>-0.41499999999999998</v>
      </c>
      <c r="T54" s="2">
        <f t="shared" si="1"/>
        <v>0.16</v>
      </c>
    </row>
    <row r="55" spans="4:20">
      <c r="R55">
        <v>6</v>
      </c>
      <c r="S55" s="2">
        <f t="shared" si="0"/>
        <v>-0.33200000000000002</v>
      </c>
      <c r="T55" s="2">
        <f t="shared" si="1"/>
        <v>0.23039999999999999</v>
      </c>
    </row>
    <row r="56" spans="4:20">
      <c r="R56">
        <v>7</v>
      </c>
      <c r="S56" s="2">
        <f t="shared" si="0"/>
        <v>-0.24900000000000003</v>
      </c>
      <c r="T56" s="2">
        <f t="shared" si="1"/>
        <v>0.31359999999999999</v>
      </c>
    </row>
    <row r="57" spans="4:20">
      <c r="R57">
        <v>8</v>
      </c>
      <c r="S57" s="2">
        <f t="shared" si="0"/>
        <v>-0.16599999999999995</v>
      </c>
      <c r="T57" s="2">
        <f t="shared" si="1"/>
        <v>0.40960000000000008</v>
      </c>
    </row>
    <row r="58" spans="4:20">
      <c r="R58">
        <v>9</v>
      </c>
      <c r="S58" s="2">
        <f t="shared" si="0"/>
        <v>-8.2999999999999977E-2</v>
      </c>
      <c r="T58" s="2">
        <f t="shared" si="1"/>
        <v>0.51840000000000008</v>
      </c>
    </row>
    <row r="59" spans="4:20">
      <c r="R59">
        <v>10</v>
      </c>
      <c r="S59" s="2">
        <f t="shared" si="0"/>
        <v>0</v>
      </c>
      <c r="T59" s="2">
        <f t="shared" si="1"/>
        <v>0.64</v>
      </c>
    </row>
  </sheetData>
  <dataValidations count="1">
    <dataValidation type="list" allowBlank="1" showInputMessage="1" showErrorMessage="1" sqref="H6" xr:uid="{00000000-0002-0000-0000-000000000000}">
      <formula1>"J201,J202,2N5457,2N5458,MPF102,User"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2:Y61"/>
  <sheetViews>
    <sheetView workbookViewId="0">
      <selection activeCell="E10" sqref="E10"/>
    </sheetView>
  </sheetViews>
  <sheetFormatPr defaultRowHeight="15"/>
  <cols>
    <col min="3" max="3" width="18.140625" customWidth="1"/>
    <col min="4" max="13" width="12.7109375" customWidth="1"/>
  </cols>
  <sheetData>
    <row r="2" spans="3:25">
      <c r="C2" t="s">
        <v>64</v>
      </c>
    </row>
    <row r="4" spans="3:25">
      <c r="D4" s="1" t="s">
        <v>8</v>
      </c>
      <c r="E4" s="1" t="s">
        <v>8</v>
      </c>
      <c r="F4" s="1" t="s">
        <v>8</v>
      </c>
      <c r="G4" s="1" t="s">
        <v>65</v>
      </c>
      <c r="H4" s="1" t="s">
        <v>65</v>
      </c>
      <c r="I4" s="1" t="s">
        <v>66</v>
      </c>
      <c r="J4" s="1" t="s">
        <v>66</v>
      </c>
      <c r="K4" s="1"/>
      <c r="L4" s="5" t="s">
        <v>67</v>
      </c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3:25">
      <c r="C5" s="1" t="s">
        <v>68</v>
      </c>
      <c r="D5" s="1" t="s">
        <v>69</v>
      </c>
      <c r="E5" s="1" t="s">
        <v>70</v>
      </c>
      <c r="F5" s="1" t="s">
        <v>71</v>
      </c>
      <c r="G5" s="1" t="s">
        <v>72</v>
      </c>
      <c r="H5" s="1" t="s">
        <v>73</v>
      </c>
      <c r="I5" s="1" t="s">
        <v>74</v>
      </c>
      <c r="J5" s="1" t="s">
        <v>75</v>
      </c>
      <c r="K5" s="1"/>
      <c r="L5" s="1"/>
      <c r="M5" s="1"/>
      <c r="N5" s="1"/>
    </row>
    <row r="6" spans="3:25">
      <c r="C6" s="1" t="s">
        <v>16</v>
      </c>
      <c r="D6" s="2">
        <v>1</v>
      </c>
      <c r="E6" s="2">
        <v>3</v>
      </c>
      <c r="F6" s="2">
        <v>5</v>
      </c>
      <c r="G6" s="2">
        <v>-0.5</v>
      </c>
      <c r="H6" s="2">
        <v>-6</v>
      </c>
      <c r="I6" s="6">
        <v>1000</v>
      </c>
      <c r="J6" s="6">
        <v>5000</v>
      </c>
      <c r="K6" s="2"/>
      <c r="L6" s="1"/>
    </row>
    <row r="7" spans="3:25">
      <c r="C7" s="1" t="s">
        <v>17</v>
      </c>
      <c r="D7" s="2">
        <v>2</v>
      </c>
      <c r="E7" s="2">
        <v>6</v>
      </c>
      <c r="F7" s="2">
        <v>9</v>
      </c>
      <c r="G7" s="2">
        <v>-1</v>
      </c>
      <c r="H7" s="2">
        <v>-7</v>
      </c>
      <c r="I7" s="6">
        <v>1500</v>
      </c>
      <c r="J7" s="6">
        <v>5500</v>
      </c>
      <c r="K7" s="2"/>
      <c r="L7" s="1"/>
    </row>
    <row r="8" spans="3:25">
      <c r="C8" s="1" t="s">
        <v>76</v>
      </c>
      <c r="D8" s="2">
        <v>4</v>
      </c>
      <c r="E8" s="2">
        <v>9</v>
      </c>
      <c r="F8" s="2">
        <v>16</v>
      </c>
      <c r="G8" s="2">
        <v>-1.5</v>
      </c>
      <c r="H8" s="2">
        <v>-8</v>
      </c>
      <c r="I8" s="6">
        <v>2000</v>
      </c>
      <c r="J8" s="6">
        <v>6000</v>
      </c>
      <c r="K8" s="2"/>
      <c r="L8" s="1"/>
    </row>
    <row r="9" spans="3:25">
      <c r="C9" s="1" t="s">
        <v>77</v>
      </c>
      <c r="D9" s="2">
        <v>4</v>
      </c>
      <c r="E9" s="2"/>
      <c r="F9" s="2">
        <v>8</v>
      </c>
      <c r="G9" s="2">
        <v>-1.3</v>
      </c>
      <c r="H9" s="2">
        <v>-3.5</v>
      </c>
      <c r="I9" s="6">
        <v>2000</v>
      </c>
      <c r="J9" s="6">
        <v>6500</v>
      </c>
      <c r="K9" s="2"/>
      <c r="L9" s="1"/>
    </row>
    <row r="10" spans="3:25">
      <c r="C10" s="1" t="s">
        <v>4</v>
      </c>
      <c r="D10" s="2">
        <v>0.2</v>
      </c>
      <c r="E10" s="2"/>
      <c r="F10" s="2">
        <v>1</v>
      </c>
      <c r="G10" s="2">
        <v>-0.3</v>
      </c>
      <c r="H10" s="2">
        <v>-1.5</v>
      </c>
      <c r="I10" s="6">
        <v>500</v>
      </c>
      <c r="J10" s="6"/>
      <c r="K10" s="2"/>
      <c r="L10" s="1"/>
    </row>
    <row r="11" spans="3:25">
      <c r="C11" s="1" t="s">
        <v>12</v>
      </c>
      <c r="D11" s="2">
        <v>0.9</v>
      </c>
      <c r="E11" s="2"/>
      <c r="F11" s="2">
        <v>4.5</v>
      </c>
      <c r="G11" s="2">
        <v>-0.8</v>
      </c>
      <c r="H11" s="2">
        <v>-4</v>
      </c>
      <c r="I11" s="6">
        <v>1000</v>
      </c>
      <c r="J11" s="6"/>
      <c r="K11" s="2"/>
      <c r="L11" s="1"/>
    </row>
    <row r="12" spans="3:25">
      <c r="C12" s="1" t="s">
        <v>18</v>
      </c>
      <c r="D12" s="2">
        <v>2</v>
      </c>
      <c r="E12" s="2"/>
      <c r="F12" s="2">
        <v>20</v>
      </c>
      <c r="G12" s="2"/>
      <c r="H12" s="2">
        <v>-8</v>
      </c>
      <c r="I12" s="6">
        <v>2000</v>
      </c>
      <c r="J12" s="6">
        <v>7500</v>
      </c>
      <c r="K12" s="2"/>
      <c r="L12" s="1"/>
    </row>
    <row r="13" spans="3:25">
      <c r="C13" s="1"/>
      <c r="D13" s="2"/>
      <c r="E13" s="2"/>
      <c r="F13" s="2"/>
      <c r="G13" s="2"/>
      <c r="H13" s="2"/>
      <c r="I13" s="3"/>
      <c r="J13" s="3"/>
      <c r="K13" s="2"/>
      <c r="L13" s="1"/>
    </row>
    <row r="14" spans="3:25">
      <c r="C14" s="1"/>
      <c r="D14" s="2"/>
      <c r="E14" s="2"/>
      <c r="F14" s="2"/>
      <c r="G14" s="2"/>
      <c r="H14" s="2"/>
      <c r="I14" s="3"/>
      <c r="J14" s="3"/>
      <c r="K14" s="2"/>
      <c r="L14" s="1"/>
    </row>
    <row r="15" spans="3:25">
      <c r="C15" s="1"/>
      <c r="D15" s="1"/>
      <c r="E15" s="1"/>
      <c r="F15" s="1"/>
      <c r="G15" s="1"/>
      <c r="H15" s="1"/>
      <c r="I15" s="3"/>
      <c r="J15" s="3"/>
      <c r="K15" s="1"/>
      <c r="L15" s="1"/>
    </row>
    <row r="16" spans="3:25">
      <c r="C16" s="1"/>
      <c r="D16" s="1"/>
      <c r="E16" s="1"/>
      <c r="F16" s="1"/>
      <c r="G16" s="1"/>
      <c r="H16" s="1"/>
      <c r="I16" s="3"/>
      <c r="J16" s="3"/>
      <c r="K16" s="1"/>
      <c r="L16" s="1"/>
    </row>
    <row r="17" spans="3:12">
      <c r="C17" s="1"/>
      <c r="D17" s="1"/>
      <c r="E17" s="1"/>
      <c r="F17" s="1"/>
      <c r="G17" s="1"/>
      <c r="H17" s="1"/>
      <c r="I17" s="3"/>
      <c r="J17" s="3"/>
      <c r="K17" s="1"/>
      <c r="L17" s="1"/>
    </row>
    <row r="18" spans="3:12">
      <c r="D18" s="1"/>
      <c r="E18" s="1"/>
      <c r="F18" s="1"/>
      <c r="G18" s="1"/>
      <c r="H18" s="1"/>
      <c r="I18" s="3"/>
      <c r="J18" s="3"/>
      <c r="K18" s="1"/>
      <c r="L18" s="1"/>
    </row>
    <row r="19" spans="3:12">
      <c r="D19" s="1"/>
      <c r="E19" s="1"/>
      <c r="F19" s="1"/>
      <c r="G19" s="1"/>
      <c r="H19" s="1"/>
      <c r="I19" s="3"/>
      <c r="J19" s="3"/>
      <c r="K19" s="1"/>
      <c r="L19" s="1"/>
    </row>
    <row r="20" spans="3:12">
      <c r="D20" s="1"/>
      <c r="E20" s="1"/>
      <c r="F20" s="1"/>
      <c r="G20" s="1"/>
      <c r="H20" s="1"/>
      <c r="I20" s="3"/>
      <c r="J20" s="3"/>
      <c r="K20" s="1"/>
      <c r="L20" s="1"/>
    </row>
    <row r="21" spans="3:12">
      <c r="D21" s="1"/>
      <c r="E21" s="1"/>
      <c r="F21" s="1"/>
      <c r="G21" s="1"/>
      <c r="H21" s="1"/>
      <c r="I21" s="3"/>
      <c r="J21" s="3"/>
      <c r="K21" s="1"/>
      <c r="L21" s="1"/>
    </row>
    <row r="22" spans="3:12">
      <c r="D22" s="1"/>
      <c r="E22" s="1"/>
      <c r="F22" s="1"/>
      <c r="G22" s="1"/>
      <c r="H22" s="1"/>
      <c r="I22" s="3"/>
      <c r="J22" s="3"/>
      <c r="K22" s="1"/>
      <c r="L22" s="1"/>
    </row>
    <row r="23" spans="3:12">
      <c r="D23" s="1"/>
      <c r="E23" s="1"/>
      <c r="F23" s="1"/>
      <c r="G23" s="1"/>
      <c r="H23" s="1"/>
      <c r="I23" s="3"/>
      <c r="J23" s="3"/>
      <c r="K23" s="1"/>
      <c r="L23" s="1"/>
    </row>
    <row r="24" spans="3:12">
      <c r="D24" s="1"/>
      <c r="E24" s="1"/>
      <c r="F24" s="1"/>
      <c r="G24" s="1"/>
      <c r="H24" s="1"/>
      <c r="I24" s="3"/>
      <c r="J24" s="3"/>
      <c r="K24" s="1"/>
      <c r="L24" s="1"/>
    </row>
    <row r="25" spans="3:12">
      <c r="D25" s="1"/>
      <c r="E25" s="1"/>
      <c r="F25" s="1"/>
      <c r="G25" s="1"/>
      <c r="H25" s="1"/>
      <c r="I25" s="3"/>
      <c r="J25" s="3"/>
      <c r="K25" s="1"/>
      <c r="L25" s="1"/>
    </row>
    <row r="26" spans="3:12">
      <c r="D26" s="1"/>
      <c r="E26" s="1"/>
      <c r="F26" s="1"/>
      <c r="G26" s="1"/>
      <c r="H26" s="1"/>
      <c r="I26" s="3"/>
      <c r="J26" s="3"/>
      <c r="K26" s="1"/>
      <c r="L26" s="1"/>
    </row>
    <row r="27" spans="3:12">
      <c r="D27" s="1"/>
      <c r="E27" s="1"/>
      <c r="F27" s="1"/>
      <c r="G27" s="1"/>
      <c r="H27" s="1"/>
      <c r="I27" s="3"/>
      <c r="J27" s="3"/>
      <c r="K27" s="1"/>
      <c r="L27" s="1"/>
    </row>
    <row r="28" spans="3:12">
      <c r="D28" s="1"/>
      <c r="E28" s="1"/>
      <c r="F28" s="1"/>
      <c r="G28" s="1"/>
      <c r="H28" s="1"/>
      <c r="I28" s="3"/>
      <c r="J28" s="3"/>
      <c r="K28" s="1"/>
      <c r="L28" s="1"/>
    </row>
    <row r="29" spans="3:12">
      <c r="I29" s="4"/>
      <c r="J29" s="4"/>
    </row>
    <row r="30" spans="3:12">
      <c r="I30" s="4"/>
      <c r="J30" s="4"/>
    </row>
    <row r="31" spans="3:12">
      <c r="I31" s="4"/>
      <c r="J31" s="4"/>
    </row>
    <row r="32" spans="3:12">
      <c r="I32" s="4"/>
      <c r="J32" s="4"/>
    </row>
    <row r="33" spans="9:10">
      <c r="I33" s="4"/>
      <c r="J33" s="4"/>
    </row>
    <row r="34" spans="9:10">
      <c r="I34" s="4"/>
      <c r="J34" s="4"/>
    </row>
    <row r="35" spans="9:10">
      <c r="I35" s="4"/>
      <c r="J35" s="4"/>
    </row>
    <row r="36" spans="9:10">
      <c r="I36" s="4"/>
      <c r="J36" s="4"/>
    </row>
    <row r="37" spans="9:10">
      <c r="I37" s="4"/>
      <c r="J37" s="4"/>
    </row>
    <row r="38" spans="9:10">
      <c r="I38" s="4"/>
      <c r="J38" s="4"/>
    </row>
    <row r="39" spans="9:10">
      <c r="I39" s="4"/>
      <c r="J39" s="4"/>
    </row>
    <row r="40" spans="9:10">
      <c r="I40" s="4"/>
      <c r="J40" s="4"/>
    </row>
    <row r="41" spans="9:10">
      <c r="I41" s="4"/>
      <c r="J41" s="4"/>
    </row>
    <row r="42" spans="9:10">
      <c r="I42" s="4"/>
      <c r="J42" s="4"/>
    </row>
    <row r="43" spans="9:10">
      <c r="I43" s="4"/>
      <c r="J43" s="4"/>
    </row>
    <row r="44" spans="9:10">
      <c r="I44" s="4"/>
      <c r="J44" s="4"/>
    </row>
    <row r="45" spans="9:10">
      <c r="I45" s="4"/>
      <c r="J45" s="4"/>
    </row>
    <row r="46" spans="9:10">
      <c r="I46" s="4"/>
      <c r="J46" s="4"/>
    </row>
    <row r="47" spans="9:10">
      <c r="I47" s="4"/>
      <c r="J47" s="4"/>
    </row>
    <row r="48" spans="9:10">
      <c r="I48" s="4"/>
      <c r="J48" s="4"/>
    </row>
    <row r="49" spans="9:10">
      <c r="I49" s="4"/>
      <c r="J49" s="4"/>
    </row>
    <row r="50" spans="9:10">
      <c r="I50" s="4"/>
      <c r="J50" s="4"/>
    </row>
    <row r="51" spans="9:10">
      <c r="I51" s="4"/>
      <c r="J51" s="4"/>
    </row>
    <row r="52" spans="9:10">
      <c r="I52" s="4"/>
      <c r="J52" s="4"/>
    </row>
    <row r="53" spans="9:10">
      <c r="I53" s="4"/>
      <c r="J53" s="4"/>
    </row>
    <row r="54" spans="9:10">
      <c r="I54" s="4"/>
      <c r="J54" s="4"/>
    </row>
    <row r="55" spans="9:10">
      <c r="I55" s="4"/>
      <c r="J55" s="4"/>
    </row>
    <row r="56" spans="9:10">
      <c r="I56" s="4"/>
      <c r="J56" s="4"/>
    </row>
    <row r="57" spans="9:10">
      <c r="I57" s="4"/>
      <c r="J57" s="4"/>
    </row>
    <row r="58" spans="9:10">
      <c r="I58" s="4"/>
      <c r="J58" s="4"/>
    </row>
    <row r="59" spans="9:10">
      <c r="I59" s="4"/>
      <c r="J59" s="4"/>
    </row>
    <row r="60" spans="9:10">
      <c r="I60" s="4"/>
      <c r="J60" s="4"/>
    </row>
    <row r="61" spans="9:10">
      <c r="I61" s="4"/>
      <c r="J61" s="4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Frank</dc:creator>
  <cp:keywords/>
  <dc:description/>
  <cp:lastModifiedBy>Frank</cp:lastModifiedBy>
  <cp:revision/>
  <dcterms:created xsi:type="dcterms:W3CDTF">2014-10-05T16:33:57Z</dcterms:created>
  <dcterms:modified xsi:type="dcterms:W3CDTF">2025-02-28T04:08:52Z</dcterms:modified>
  <cp:category/>
  <cp:contentStatus/>
</cp:coreProperties>
</file>